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00" windowHeight="17835" tabRatio="498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(G)'!$Q$45:$R$68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45621"/>
</workbook>
</file>

<file path=xl/calcChain.xml><?xml version="1.0" encoding="utf-8"?>
<calcChain xmlns="http://schemas.openxmlformats.org/spreadsheetml/2006/main">
  <c r="I57" i="1" l="1"/>
  <c r="F57" i="1"/>
  <c r="H57" i="1" l="1"/>
  <c r="E57" i="1"/>
  <c r="F12" i="1" l="1"/>
  <c r="F13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28" i="2"/>
  <c r="G31" i="2" l="1"/>
  <c r="D28" i="2"/>
  <c r="D33" i="2"/>
  <c r="D32" i="2"/>
  <c r="D31" i="2" l="1"/>
  <c r="H28" i="2"/>
  <c r="F58" i="6" l="1"/>
  <c r="H33" i="2" l="1"/>
  <c r="H32" i="2"/>
  <c r="H31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G43" i="1" l="1"/>
  <c r="U61" i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4" i="1"/>
  <c r="F15" i="1"/>
  <c r="D56" i="6" l="1"/>
  <c r="R25" i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25" i="1"/>
  <c r="G29" i="1"/>
  <c r="F32" i="1"/>
  <c r="E30" i="2" s="1"/>
  <c r="G12" i="1" l="1"/>
  <c r="G13" i="1"/>
  <c r="D17" i="1"/>
  <c r="G14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<sst xmlns="http://schemas.openxmlformats.org/spreadsheetml/2006/main" count="309" uniqueCount="133">
  <si>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</si>
  <si>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</si>
  <si>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</si>
  <si>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</si>
  <si>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</si>
  <si>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</si>
  <si>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</si>
  <si>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</si>
  <si>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</si>
  <si>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</si>
  <si>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</si>
  <si>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</si>
  <si>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</si>
  <si>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</si>
  <si>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</si>
  <si>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</si>
  <si>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</si>
  <si>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</si>
  <si>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</si>
  <si>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</si>
  <si>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</si>
  <si>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</si>
  <si>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</si>
  <si>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</si>
  <si>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</si>
  <si>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</si>
  <si>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</si>
  <si>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</si>
  <si>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</si>
  <si>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</si>
  <si>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</si>
  <si>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</si>
  <si>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</si>
  <si>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</si>
  <si>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</si>
  <si>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</si>
  <si>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</si>
  <si>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</si>
  <si>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</si>
  <si>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</si>
  <si>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</si>
  <si>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</si>
  <si>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</si>
  <si>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</si>
  <si>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</si>
  <si>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</si>
  <si>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</si>
  <si>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</si>
  <si>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</si>
  <si>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</si>
  <si>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</si>
  <si>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</si>
  <si>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</si>
  <si>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</si>
  <si>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</si>
  <si>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</si>
  <si>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</si>
  <si>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</si>
  <si>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</si>
  <si>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</si>
  <si>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</si>
  <si>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</si>
  <si>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</si>
  <si>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</si>
  <si>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</si>
  <si>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</si>
  <si>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</si>
  <si>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</si>
  <si>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</si>
  <si>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</si>
  <si>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</si>
  <si>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</si>
  <si>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</si>
  <si>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</si>
  <si>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</si>
  <si>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</si>
  <si>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</si>
  <si>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</si>
  <si>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</si>
  <si>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</si>
  <si>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</si>
  <si>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</si>
  <si>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</si>
  <si>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</si>
  <si>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</si>
  <si>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</si>
  <si>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</si>
  <si>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</si>
  <si>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</si>
  <si>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</si>
  <si>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</si>
  <si>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</si>
  <si>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</si>
  <si>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</si>
  <si>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</si>
  <si>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</si>
  <si>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</si>
  <si>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</si>
  <si>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</si>
  <si>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</si>
  <si>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</si>
  <si>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</si>
  <si>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</si>
  <si>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</si>
  <si>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</si>
  <si>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</si>
  <si>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</si>
  <si>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</si>
  <si>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</si>
  <si>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</si>
  <si>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</si>
  <si>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</si>
  <si>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</si>
  <si>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</si>
  <si>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</si>
  <si>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</si>
  <si>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</si>
  <si>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</si>
  <si>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Cuadro N° 2 : Producción de energía eléctrica nacional según sistema y mercado 2022 vs 2021</t>
  </si>
  <si>
    <t>Cuadro N° 4 : Producción de energía eléctrica nacional según destino y recurso 2022 vs 2021</t>
  </si>
  <si>
    <t>Cuadro N° 3 : Producción de energía eléctrica nacional según mercado 2022 vs 2021</t>
  </si>
  <si>
    <t>Cuadro N° 5: Producción de energía eléctrica nacional por tipo de recurso energético 2022 vs 2021</t>
  </si>
  <si>
    <t>Cuadro N° 6: Producción de energía eléctrica con Recurso Convencional y No Convencional 2022 vs 2021</t>
  </si>
  <si>
    <t>Cuadro N° 7: Producción de energía eléctrica según tipo de participación en el Mercado Eléctrico 2022 vs 2021</t>
  </si>
  <si>
    <t>3.1 Producción de energía eléctrica (GWh) nacional según zona 2022 vs 2021</t>
  </si>
  <si>
    <t>1. RESUMEN NACIONAL AL MES DE AGOSTO 2022</t>
  </si>
  <si>
    <t>Agosto</t>
  </si>
  <si>
    <t>Enero - Agosto</t>
  </si>
  <si>
    <t>dpaz</t>
  </si>
  <si>
    <t>Grafico N° 11: Generación de energía eléctrica por Región, al mes de agosto 2022</t>
  </si>
  <si>
    <t>Cuadro N° 8: Producción de energía eléctrica nacional por zona del país, al mes de agosto</t>
  </si>
  <si>
    <t>3.2 Producción de energía eléctrica (GWh) por origen y zona al mes de agosto 2022</t>
  </si>
  <si>
    <t>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</si>
</sst>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0.000%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400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9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NumberFormat="1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6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9" xfId="0" applyNumberFormat="1" applyFont="1" applyFill="1" applyBorder="1"/>
    <xf numFmtId="1" fontId="100" fillId="0" borderId="0" xfId="0" applyNumberFormat="1" applyFont="1"/>
    <xf numFmtId="0" fontId="92" fillId="68" borderId="81" xfId="0" applyFont="1" applyFill="1" applyBorder="1" applyAlignment="1">
      <alignment horizontal="center"/>
    </xf>
    <xf numFmtId="3" fontId="0" fillId="71" borderId="82" xfId="0" applyNumberFormat="1" applyFill="1" applyBorder="1"/>
    <xf numFmtId="3" fontId="0" fillId="68" borderId="81" xfId="0" applyNumberFormat="1" applyFill="1" applyBorder="1"/>
    <xf numFmtId="3" fontId="0" fillId="68" borderId="83" xfId="0" applyNumberFormat="1" applyFill="1" applyBorder="1"/>
    <xf numFmtId="3" fontId="0" fillId="71" borderId="84" xfId="0" applyNumberFormat="1" applyFont="1" applyFill="1" applyBorder="1"/>
    <xf numFmtId="0" fontId="92" fillId="69" borderId="81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5" fillId="70" borderId="84" xfId="0" applyNumberFormat="1" applyFont="1" applyFill="1" applyBorder="1"/>
    <xf numFmtId="178" fontId="98" fillId="70" borderId="88" xfId="33743" applyNumberFormat="1" applyFont="1" applyFill="1" applyBorder="1"/>
    <xf numFmtId="0" fontId="0" fillId="71" borderId="89" xfId="0" applyFont="1" applyFill="1" applyBorder="1" applyAlignment="1">
      <alignment horizontal="center"/>
    </xf>
    <xf numFmtId="3" fontId="0" fillId="71" borderId="90" xfId="0" applyNumberFormat="1" applyFont="1" applyFill="1" applyBorder="1"/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0" fontId="0" fillId="71" borderId="93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5" xfId="0" applyFont="1" applyFill="1" applyBorder="1"/>
    <xf numFmtId="3" fontId="0" fillId="68" borderId="85" xfId="0" applyNumberFormat="1" applyFont="1" applyFill="1" applyBorder="1" applyAlignment="1">
      <alignment vertical="center"/>
    </xf>
    <xf numFmtId="3" fontId="0" fillId="68" borderId="81" xfId="0" applyNumberFormat="1" applyFont="1" applyFill="1" applyBorder="1" applyAlignment="1">
      <alignment vertical="center"/>
    </xf>
    <xf numFmtId="3" fontId="95" fillId="70" borderId="97" xfId="0" applyNumberFormat="1" applyFont="1" applyFill="1" applyBorder="1" applyAlignment="1">
      <alignment horizontal="center" vertical="center"/>
    </xf>
    <xf numFmtId="178" fontId="98" fillId="70" borderId="9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0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1" xfId="0" applyNumberFormat="1" applyFill="1" applyBorder="1"/>
    <xf numFmtId="3" fontId="0" fillId="68" borderId="102" xfId="0" applyNumberFormat="1" applyFill="1" applyBorder="1"/>
    <xf numFmtId="3" fontId="0" fillId="68" borderId="104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5" xfId="0" applyFill="1" applyBorder="1" applyAlignment="1">
      <alignment horizontal="left" indent="1"/>
    </xf>
    <xf numFmtId="0" fontId="0" fillId="68" borderId="94" xfId="0" applyFill="1" applyBorder="1" applyAlignment="1">
      <alignment horizontal="left" indent="1"/>
    </xf>
    <xf numFmtId="9" fontId="96" fillId="68" borderId="32" xfId="33743" applyNumberFormat="1" applyFont="1" applyFill="1" applyBorder="1" applyAlignment="1">
      <alignment horizontal="center"/>
    </xf>
    <xf numFmtId="9" fontId="96" fillId="68" borderId="103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5" xfId="0" applyFill="1" applyBorder="1"/>
    <xf numFmtId="0" fontId="0" fillId="68" borderId="42" xfId="0" applyFill="1" applyBorder="1" applyAlignment="1">
      <alignment wrapText="1"/>
    </xf>
    <xf numFmtId="0" fontId="0" fillId="68" borderId="94" xfId="0" applyFill="1" applyBorder="1"/>
    <xf numFmtId="0" fontId="0" fillId="68" borderId="41" xfId="0" applyFill="1" applyBorder="1"/>
    <xf numFmtId="167" fontId="100" fillId="62" borderId="0" xfId="0" applyNumberFormat="1" applyFont="1" applyFill="1" applyBorder="1"/>
    <xf numFmtId="3" fontId="99" fillId="0" borderId="107" xfId="0" applyNumberFormat="1" applyFont="1" applyBorder="1"/>
    <xf numFmtId="3" fontId="99" fillId="0" borderId="108" xfId="0" applyNumberFormat="1" applyFont="1" applyBorder="1"/>
    <xf numFmtId="3" fontId="95" fillId="69" borderId="106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NumberFormat="1" applyFont="1" applyFill="1" applyBorder="1" applyAlignment="1">
      <alignment horizontal="center" vertical="center"/>
    </xf>
    <xf numFmtId="3" fontId="0" fillId="68" borderId="96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2" xfId="0" applyNumberForma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6" fillId="0" borderId="73" xfId="33743" applyNumberFormat="1" applyFont="1" applyBorder="1"/>
    <xf numFmtId="9" fontId="96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11" xfId="0" applyBorder="1" applyAlignment="1">
      <alignment horizontal="center" vertical="center"/>
    </xf>
    <xf numFmtId="0" fontId="0" fillId="68" borderId="112" xfId="0" applyFill="1" applyBorder="1" applyAlignment="1">
      <alignment wrapText="1"/>
    </xf>
    <xf numFmtId="9" fontId="96" fillId="68" borderId="115" xfId="33743" applyNumberFormat="1" applyFont="1" applyFill="1" applyBorder="1" applyAlignment="1">
      <alignment horizontal="center"/>
    </xf>
    <xf numFmtId="167" fontId="99" fillId="0" borderId="107" xfId="0" applyNumberFormat="1" applyFont="1" applyBorder="1"/>
    <xf numFmtId="9" fontId="103" fillId="71" borderId="26" xfId="33743" applyNumberFormat="1" applyFont="1" applyFill="1" applyBorder="1" applyAlignment="1">
      <alignment horizontal="center"/>
    </xf>
    <xf numFmtId="9" fontId="103" fillId="71" borderId="94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5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6" xfId="0" applyNumberFormat="1" applyFill="1" applyBorder="1"/>
    <xf numFmtId="3" fontId="0" fillId="0" borderId="102" xfId="0" applyNumberFormat="1" applyFill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43" fontId="0" fillId="0" borderId="0" xfId="33743" applyNumberFormat="1" applyFont="1" applyBorder="1"/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5" xfId="33743" applyNumberFormat="1" applyFont="1" applyFill="1" applyBorder="1"/>
    <xf numFmtId="3" fontId="93" fillId="68" borderId="81" xfId="33743" applyNumberFormat="1" applyFont="1" applyFill="1" applyBorder="1"/>
    <xf numFmtId="3" fontId="93" fillId="68" borderId="99" xfId="33743" applyNumberFormat="1" applyFont="1" applyFill="1" applyBorder="1"/>
    <xf numFmtId="3" fontId="95" fillId="69" borderId="84" xfId="0" applyNumberFormat="1" applyFont="1" applyFill="1" applyBorder="1"/>
    <xf numFmtId="178" fontId="76" fillId="0" borderId="73" xfId="33743" applyNumberFormat="1" applyFont="1" applyBorder="1"/>
    <xf numFmtId="0" fontId="92" fillId="69" borderId="117" xfId="0" applyFont="1" applyFill="1" applyBorder="1" applyAlignment="1">
      <alignment horizontal="center"/>
    </xf>
    <xf numFmtId="167" fontId="99" fillId="0" borderId="86" xfId="0" applyNumberFormat="1" applyFont="1" applyBorder="1"/>
    <xf numFmtId="167" fontId="99" fillId="0" borderId="78" xfId="0" applyNumberFormat="1" applyFont="1" applyBorder="1"/>
    <xf numFmtId="0" fontId="0" fillId="0" borderId="24" xfId="0" applyFont="1" applyBorder="1" applyAlignment="1">
      <alignment horizontal="center"/>
    </xf>
    <xf numFmtId="3" fontId="99" fillId="0" borderId="60" xfId="0" applyNumberFormat="1" applyFont="1" applyBorder="1"/>
    <xf numFmtId="3" fontId="0" fillId="68" borderId="60" xfId="0" applyNumberFormat="1" applyFill="1" applyBorder="1"/>
    <xf numFmtId="167" fontId="0" fillId="68" borderId="62" xfId="0" applyNumberFormat="1" applyFill="1" applyBorder="1" applyAlignment="1">
      <alignment horizontal="center" vertical="center"/>
    </xf>
    <xf numFmtId="0" fontId="3" fillId="69" borderId="118" xfId="0" applyFont="1" applyFill="1" applyBorder="1" applyAlignment="1"/>
    <xf numFmtId="0" fontId="92" fillId="69" borderId="119" xfId="0" applyFont="1" applyFill="1" applyBorder="1" applyAlignment="1">
      <alignment horizontal="center"/>
    </xf>
    <xf numFmtId="3" fontId="0" fillId="68" borderId="66" xfId="0" applyNumberFormat="1" applyFill="1" applyBorder="1" applyAlignment="1">
      <alignment horizontal="center" vertical="center"/>
    </xf>
    <xf numFmtId="182" fontId="35" fillId="68" borderId="22" xfId="33743" applyNumberFormat="1" applyFont="1" applyFill="1" applyBorder="1" applyAlignment="1">
      <alignment horizontal="center" vertical="center"/>
    </xf>
    <xf numFmtId="167" fontId="0" fillId="68" borderId="84" xfId="0" applyNumberFormat="1" applyFill="1" applyBorder="1" applyAlignment="1">
      <alignment horizontal="center" vertical="center"/>
    </xf>
    <xf numFmtId="9" fontId="35" fillId="68" borderId="58" xfId="33743" applyNumberFormat="1" applyFont="1" applyFill="1" applyBorder="1" applyAlignment="1">
      <alignment horizontal="center" vertical="center"/>
    </xf>
    <xf numFmtId="3" fontId="99" fillId="0" borderId="85" xfId="0" applyNumberFormat="1" applyFont="1" applyBorder="1"/>
    <xf numFmtId="167" fontId="0" fillId="68" borderId="63" xfId="0" applyNumberFormat="1" applyFont="1" applyFill="1" applyBorder="1" applyAlignment="1">
      <alignment vertical="center"/>
    </xf>
    <xf numFmtId="3" fontId="0" fillId="68" borderId="113" xfId="0" applyNumberFormat="1" applyFill="1" applyBorder="1"/>
    <xf numFmtId="167" fontId="0" fillId="68" borderId="27" xfId="0" applyNumberFormat="1" applyFont="1" applyFill="1" applyBorder="1" applyAlignment="1">
      <alignment vertical="center"/>
    </xf>
    <xf numFmtId="3" fontId="99" fillId="0" borderId="28" xfId="0" applyNumberFormat="1" applyFont="1" applyBorder="1"/>
    <xf numFmtId="4" fontId="99" fillId="0" borderId="78" xfId="0" applyNumberFormat="1" applyFont="1" applyBorder="1"/>
    <xf numFmtId="4" fontId="99" fillId="0" borderId="107" xfId="0" applyNumberFormat="1" applyFont="1" applyBorder="1"/>
    <xf numFmtId="3" fontId="0" fillId="68" borderId="83" xfId="0" applyNumberFormat="1" applyFont="1" applyFill="1" applyBorder="1" applyAlignment="1">
      <alignment vertical="center"/>
    </xf>
    <xf numFmtId="3" fontId="0" fillId="68" borderId="63" xfId="0" applyNumberFormat="1" applyFont="1" applyFill="1" applyBorder="1" applyAlignment="1">
      <alignment vertical="center"/>
    </xf>
    <xf numFmtId="178" fontId="96" fillId="68" borderId="103" xfId="33743" applyNumberFormat="1" applyFont="1" applyFill="1" applyBorder="1" applyAlignment="1">
      <alignment horizontal="center"/>
    </xf>
    <xf numFmtId="178" fontId="96" fillId="68" borderId="32" xfId="33743" applyNumberFormat="1" applyFont="1" applyFill="1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92" fillId="68" borderId="80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3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92" fillId="69" borderId="80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7" xfId="0" quotePrefix="1" applyNumberFormat="1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6" xfId="0" applyFont="1" applyFill="1" applyBorder="1" applyAlignment="1">
      <alignment horizontal="center" vertical="center"/>
    </xf>
    <xf numFmtId="0" fontId="3" fillId="69" borderId="4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  <xf numFmtId="178" fontId="96" fillId="0" borderId="32" xfId="33743" applyNumberFormat="1" applyFont="1" applyBorder="1" applyAlignment="1">
      <alignment horizontal="center"/>
    </xf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1980.9936709999999</c:v>
                </c:pt>
                <c:pt idx="1">
                  <c:v>2600.5789069801385</c:v>
                </c:pt>
                <c:pt idx="2">
                  <c:v>182.678673</c:v>
                </c:pt>
                <c:pt idx="3">
                  <c:v>67.586133999999987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2042.1133013644069</c:v>
                </c:pt>
                <c:pt idx="1">
                  <c:v>2709.2628892570865</c:v>
                </c:pt>
                <c:pt idx="2">
                  <c:v>175.87279176499999</c:v>
                </c:pt>
                <c:pt idx="3">
                  <c:v>67.429191234999962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290240"/>
        <c:axId val="197304704"/>
      </c:barChart>
      <c:catAx>
        <c:axId val="197290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97304704"/>
        <c:crosses val="autoZero"/>
        <c:auto val="1"/>
        <c:lblAlgn val="ctr"/>
        <c:lblOffset val="100"/>
        <c:noMultiLvlLbl val="0"/>
      </c:catAx>
      <c:valAx>
        <c:axId val="19730470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9729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1670.4486805160848</c:v>
                </c:pt>
                <c:pt idx="2" formatCode="_ * #,##0.00_ ;_ * \-#,##0.00_ ;_ * &quot;-&quot;??_ ;_ @_ ">
                  <c:v>6.4619999999999999E-3</c:v>
                </c:pt>
                <c:pt idx="3">
                  <c:v>2458.6076986947196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72.408383975000035</c:v>
                </c:pt>
                <c:pt idx="1">
                  <c:v>261.39050257464407</c:v>
                </c:pt>
                <c:pt idx="2">
                  <c:v>67.429191234999962</c:v>
                </c:pt>
                <c:pt idx="3">
                  <c:v>76.728942276797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34.187502333333335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4129.0628412108044</c:v>
                </c:pt>
                <c:pt idx="1">
                  <c:v>477.95702006144109</c:v>
                </c:pt>
                <c:pt idx="2">
                  <c:v>353.47081001591249</c:v>
                </c:pt>
                <c:pt idx="3">
                  <c:v>34.187502333333335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23229440"/>
        <c:axId val="223233920"/>
      </c:barChart>
      <c:catAx>
        <c:axId val="22322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23233920"/>
        <c:crosses val="autoZero"/>
        <c:auto val="1"/>
        <c:lblAlgn val="ctr"/>
        <c:lblOffset val="100"/>
        <c:noMultiLvlLbl val="0"/>
      </c:catAx>
      <c:valAx>
        <c:axId val="22323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2322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PIURA</c:v>
                </c:pt>
                <c:pt idx="5">
                  <c:v>CUSCO</c:v>
                </c:pt>
                <c:pt idx="6">
                  <c:v>ICA</c:v>
                </c:pt>
                <c:pt idx="7">
                  <c:v>LA LIBERTAD</c:v>
                </c:pt>
                <c:pt idx="8">
                  <c:v>AREQUIPA</c:v>
                </c:pt>
                <c:pt idx="9">
                  <c:v>ANCASH</c:v>
                </c:pt>
                <c:pt idx="10">
                  <c:v>CAJAMARCA</c:v>
                </c:pt>
                <c:pt idx="11">
                  <c:v>HUANUCO</c:v>
                </c:pt>
                <c:pt idx="12">
                  <c:v>PASCO</c:v>
                </c:pt>
                <c:pt idx="13">
                  <c:v>PUNO</c:v>
                </c:pt>
                <c:pt idx="14">
                  <c:v>MOQUEGUA</c:v>
                </c:pt>
                <c:pt idx="15">
                  <c:v>LORETO</c:v>
                </c:pt>
                <c:pt idx="16">
                  <c:v>UCAYALI</c:v>
                </c:pt>
                <c:pt idx="17">
                  <c:v>TACNA</c:v>
                </c:pt>
                <c:pt idx="18">
                  <c:v>LAMBAYEQUE</c:v>
                </c:pt>
                <c:pt idx="19">
                  <c:v>AMAZONAS</c:v>
                </c:pt>
                <c:pt idx="20">
                  <c:v>APURIMAC</c:v>
                </c:pt>
                <c:pt idx="21">
                  <c:v>SAN MARTÍN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2552.2246972615903</c:v>
                </c:pt>
                <c:pt idx="1">
                  <c:v>760.3538040253278</c:v>
                </c:pt>
                <c:pt idx="2">
                  <c:v>333.06769127250004</c:v>
                </c:pt>
                <c:pt idx="3">
                  <c:v>212.35130061614447</c:v>
                </c:pt>
                <c:pt idx="4">
                  <c:v>149.39090462713997</c:v>
                </c:pt>
                <c:pt idx="5">
                  <c:v>121.22183929045291</c:v>
                </c:pt>
                <c:pt idx="6">
                  <c:v>109.56461421500005</c:v>
                </c:pt>
                <c:pt idx="7">
                  <c:v>104.77379672036776</c:v>
                </c:pt>
                <c:pt idx="8">
                  <c:v>102.98284690388491</c:v>
                </c:pt>
                <c:pt idx="9">
                  <c:v>94.109587195939667</c:v>
                </c:pt>
                <c:pt idx="10">
                  <c:v>83.981908297095131</c:v>
                </c:pt>
                <c:pt idx="11">
                  <c:v>73.997354777004276</c:v>
                </c:pt>
                <c:pt idx="12">
                  <c:v>68.782680329798055</c:v>
                </c:pt>
                <c:pt idx="13">
                  <c:v>66.813428675436569</c:v>
                </c:pt>
                <c:pt idx="14">
                  <c:v>58.798672624166642</c:v>
                </c:pt>
                <c:pt idx="15">
                  <c:v>34.187502333333335</c:v>
                </c:pt>
                <c:pt idx="16">
                  <c:v>34.175725732499998</c:v>
                </c:pt>
                <c:pt idx="17">
                  <c:v>13.747631057499996</c:v>
                </c:pt>
                <c:pt idx="18">
                  <c:v>6.7438611716560919</c:v>
                </c:pt>
                <c:pt idx="19">
                  <c:v>4.5502275000000001</c:v>
                </c:pt>
                <c:pt idx="20">
                  <c:v>3.8191466666666671</c:v>
                </c:pt>
                <c:pt idx="21">
                  <c:v>2.9295636996535528</c:v>
                </c:pt>
                <c:pt idx="22">
                  <c:v>1.1005480000000001</c:v>
                </c:pt>
                <c:pt idx="23">
                  <c:v>0.83849899999999999</c:v>
                </c:pt>
                <c:pt idx="24">
                  <c:v>0.17034162833333336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222931200"/>
        <c:axId val="222937088"/>
      </c:barChart>
      <c:catAx>
        <c:axId val="22293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222937088"/>
        <c:crosses val="autoZero"/>
        <c:auto val="1"/>
        <c:lblAlgn val="ctr"/>
        <c:lblOffset val="100"/>
        <c:noMultiLvlLbl val="0"/>
      </c:catAx>
      <c:valAx>
        <c:axId val="222937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2229312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149.89706198013931</c:v>
                </c:pt>
                <c:pt idx="1">
                  <c:v>141.11981892228118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4681.9403229999971</c:v>
                </c:pt>
                <c:pt idx="1">
                  <c:v>4853.558354699212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463232"/>
        <c:axId val="218473216"/>
        <c:axId val="197335680"/>
      </c:bar3DChart>
      <c:catAx>
        <c:axId val="21846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8473216"/>
        <c:crosses val="autoZero"/>
        <c:auto val="1"/>
        <c:lblAlgn val="ctr"/>
        <c:lblOffset val="100"/>
        <c:noMultiLvlLbl val="0"/>
      </c:catAx>
      <c:valAx>
        <c:axId val="21847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8463232"/>
        <c:crosses val="autoZero"/>
        <c:crossBetween val="between"/>
      </c:valAx>
      <c:serAx>
        <c:axId val="1973356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8473216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1"/>
                <c:pt idx="0">
                  <c:v>No RER 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1869.8236469600001</c:v>
                </c:pt>
                <c:pt idx="1">
                  <c:v>1930.392995314407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1"/>
                <c:pt idx="0">
                  <c:v>No RER 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2537.9948859801384</c:v>
                </c:pt>
                <c:pt idx="1">
                  <c:v>2655.9915911482926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1"/>
                <c:pt idx="0">
                  <c:v>RER 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111.17002403999982</c:v>
                </c:pt>
                <c:pt idx="1">
                  <c:v>111.72030604999989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1"/>
                <c:pt idx="0">
                  <c:v>RER 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312.84882799999997</c:v>
                </c:pt>
                <c:pt idx="1">
                  <c:v>296.57328110879365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0433408"/>
        <c:axId val="220439296"/>
        <c:axId val="0"/>
      </c:bar3DChart>
      <c:catAx>
        <c:axId val="22043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20439296"/>
        <c:crosses val="autoZero"/>
        <c:auto val="1"/>
        <c:lblAlgn val="ctr"/>
        <c:lblOffset val="100"/>
        <c:noMultiLvlLbl val="0"/>
      </c:catAx>
      <c:valAx>
        <c:axId val="22043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20433408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Gráfico N°1: Producción de Energía Eléctrica Nacional </a:t>
            </a:r>
          </a:p>
          <a:p>
            <a:pPr>
              <a:defRPr sz="900"/>
            </a:pPr>
            <a:r>
              <a:rPr lang="en-US" sz="900"/>
              <a:t>Agosto 2022 </a:t>
            </a:r>
          </a:p>
          <a:p>
            <a:pPr>
              <a:defRPr sz="900"/>
            </a:pPr>
            <a:r>
              <a:rPr lang="en-US" sz="900"/>
              <a:t>Total: 4 995 GWh</a:t>
            </a:r>
          </a:p>
        </c:rich>
      </c:tx>
      <c:layout>
        <c:manualLayout>
          <c:xMode val="edge"/>
          <c:yMode val="edge"/>
          <c:x val="0.15244643486503895"/>
          <c:y val="3.7789858630221773E-2"/>
        </c:manualLayout>
      </c:layout>
      <c:overlay val="0"/>
      <c:spPr>
        <a:noFill/>
      </c:sp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'Resumen (G)'!$Q$13:$Q$15</c:f>
              <c:strCache>
                <c:ptCount val="1"/>
                <c:pt idx="0">
                  <c:v>Mcdo. Elect.</c:v>
                </c:pt>
              </c:strCache>
            </c:strRef>
          </c:tx>
          <c:explosion val="12"/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accent6"/>
              </a:solidFill>
              <a:ln w="9525"/>
            </c:spPr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8.9715374929484684E-3"/>
                  <c:y val="0.1282997794017352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6787618242250092E-2"/>
                  <c:y val="-0.155381804963710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2943955371932125E-3"/>
                  <c:y val="-4.01700613869547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2451209992193599E-3"/>
                  <c:y val="-4.728132387706855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9.3676814988290398E-3"/>
                  <c:y val="7.092198581560284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25775028458693372"/>
                  <c:y val="-9.6354882148870877E-2"/>
                </c:manualLayout>
              </c:layout>
              <c:tx>
                <c:rich>
                  <a:bodyPr/>
                  <a:lstStyle/>
                  <a:p>
                    <a:pPr>
                      <a:defRPr sz="800" b="1"/>
                    </a:pPr>
                    <a:r>
                      <a:rPr lang="en-US" sz="800" b="1"/>
                      <a:t>Mcdo. Elect.; </a:t>
                    </a:r>
                  </a:p>
                  <a:p>
                    <a:pPr>
                      <a:defRPr sz="800" b="1"/>
                    </a:pPr>
                    <a:r>
                      <a:rPr lang="en-US" sz="800" b="1"/>
                      <a:t>4 837; 97%</a:t>
                    </a:r>
                  </a:p>
                </c:rich>
              </c:tx>
              <c:spPr/>
              <c:dLblPos val="bestFit"/>
              <c:showLegendKey val="0"/>
              <c:showVal val="1"/>
              <c:showCatName val="0"/>
              <c:showSerName val="1"/>
              <c:showPercent val="1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42.287547645207844</c:v>
                </c:pt>
                <c:pt idx="1">
                  <c:v>103.53158216585371</c:v>
                </c:pt>
                <c:pt idx="2">
                  <c:v>1999.8257537191989</c:v>
                </c:pt>
                <c:pt idx="3">
                  <c:v>2605.7313070912328</c:v>
                </c:pt>
                <c:pt idx="4">
                  <c:v>243.30198299999995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gap"/>
    <c:showDLblsOverMax val="0"/>
  </c:chart>
  <c:spPr>
    <a:solidFill>
      <a:schemeClr val="bg1"/>
    </a:solidFill>
    <a:ln>
      <a:gradFill>
        <a:gsLst>
          <a:gs pos="0">
            <a:schemeClr val="bg1">
              <a:lumMod val="75000"/>
            </a:schemeClr>
          </a:gs>
          <a:gs pos="12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2042.1133013644069</c:v>
                </c:pt>
                <c:pt idx="1">
                  <c:v>2504.7591621863185</c:v>
                </c:pt>
                <c:pt idx="2">
                  <c:v>151.12462775869881</c:v>
                </c:pt>
                <c:pt idx="3">
                  <c:v>53.271298108793701</c:v>
                </c:pt>
                <c:pt idx="4">
                  <c:v>175.87279176499999</c:v>
                </c:pt>
                <c:pt idx="5">
                  <c:v>67.429191234999962</c:v>
                </c:pt>
                <c:pt idx="6" formatCode="#,##0.0">
                  <c:v>0.10780120327624294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8174976"/>
        <c:axId val="218190208"/>
      </c:barChart>
      <c:catAx>
        <c:axId val="21817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8190208"/>
        <c:crosses val="autoZero"/>
        <c:auto val="1"/>
        <c:lblAlgn val="ctr"/>
        <c:lblOffset val="100"/>
        <c:noMultiLvlLbl val="0"/>
      </c:catAx>
      <c:valAx>
        <c:axId val="21819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8174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4518.9885569801363</c:v>
                </c:pt>
                <c:pt idx="1">
                  <c:v>4698.1048925126997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07781500697E-2"/>
                  <c:y val="1.84808501110118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312.84882799999997</c:v>
                </c:pt>
                <c:pt idx="1">
                  <c:v>296.57328110879365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218406912"/>
        <c:axId val="218408448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2300357676682475"/>
                  <c:y val="2.1044150271167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30296600483626E-2"/>
                  <c:y val="-1.146628322825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6.4747383463793051E-2</c:v>
                </c:pt>
                <c:pt idx="1">
                  <c:v>5.9377855949777271E-2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16256"/>
        <c:axId val="218410368"/>
      </c:lineChart>
      <c:catAx>
        <c:axId val="21840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8408448"/>
        <c:crosses val="autoZero"/>
        <c:auto val="1"/>
        <c:lblAlgn val="ctr"/>
        <c:lblOffset val="100"/>
        <c:noMultiLvlLbl val="1"/>
      </c:catAx>
      <c:valAx>
        <c:axId val="2184084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8406912"/>
        <c:crosses val="autoZero"/>
        <c:crossBetween val="between"/>
        <c:majorUnit val="1000"/>
      </c:valAx>
      <c:valAx>
        <c:axId val="218410368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8416256"/>
        <c:crosses val="max"/>
        <c:crossBetween val="between"/>
      </c:valAx>
      <c:catAx>
        <c:axId val="218416256"/>
        <c:scaling>
          <c:orientation val="minMax"/>
        </c:scaling>
        <c:delete val="1"/>
        <c:axPos val="b"/>
        <c:majorTickMark val="out"/>
        <c:minorTickMark val="none"/>
        <c:tickLblPos val="nextTo"/>
        <c:crossAx val="218410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4.5219125990374726E-2"/>
                  <c:y val="-0.10740094435375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0400770227834382E-2"/>
                  <c:y val="0.323573055257170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2438337467573948"/>
                  <c:y val="-0.17468732211686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 i="0" u="none" strike="noStrike" baseline="0">
                        <a:effectLst/>
                      </a:rPr>
                      <a:t>RER No Convencional</a:t>
                    </a:r>
                    <a:r>
                      <a:rPr lang="en-US" sz="700" b="1"/>
                      <a:t>
5%</a:t>
                    </a:r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1980.9936709999999</c:v>
                </c:pt>
                <c:pt idx="1">
                  <c:v>2448.8344780000002</c:v>
                </c:pt>
                <c:pt idx="2">
                  <c:v>88.955407980136442</c:v>
                </c:pt>
                <c:pt idx="3" formatCode="#,##0.00">
                  <c:v>0.20499999999999999</c:v>
                </c:pt>
                <c:pt idx="4">
                  <c:v>62.584020999999979</c:v>
                </c:pt>
                <c:pt idx="5">
                  <c:v>182.678673</c:v>
                </c:pt>
                <c:pt idx="6">
                  <c:v>67.586133999999987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2022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3.3952764182478223E-2"/>
                  <c:y val="-0.10838367701663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4.7784451713007749E-2"/>
                  <c:y val="0.302348884368471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8.5977877041062648E-2"/>
                  <c:y val="-7.1832935166740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 Convencional
5%</a:t>
                    </a:r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2042.1133013644069</c:v>
                </c:pt>
                <c:pt idx="1">
                  <c:v>2504.7591621863185</c:v>
                </c:pt>
                <c:pt idx="2">
                  <c:v>151.12462775869881</c:v>
                </c:pt>
                <c:pt idx="3" formatCode="#,##0.00">
                  <c:v>0.10780120327624294</c:v>
                </c:pt>
                <c:pt idx="4">
                  <c:v>53.271298108793701</c:v>
                </c:pt>
                <c:pt idx="5">
                  <c:v>175.87279176499999</c:v>
                </c:pt>
                <c:pt idx="6">
                  <c:v>67.429191234999962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103.46440778999995</c:v>
                </c:pt>
                <c:pt idx="1">
                  <c:v>110.27411827367807</c:v>
                </c:pt>
                <c:pt idx="2">
                  <c:v>0</c:v>
                </c:pt>
                <c:pt idx="3">
                  <c:v>139.73228395223447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409575</xdr:colOff>
      <xdr:row>5</xdr:row>
      <xdr:rowOff>9525</xdr:rowOff>
    </xdr:from>
    <xdr:to>
      <xdr:col>14</xdr:col>
      <xdr:colOff>66674</xdr:colOff>
      <xdr:row>18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76200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78731" y="771525"/>
          <a:ext cx="6294862" cy="374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agosto 2022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2022 vs 2021</a:t>
          </a:r>
          <a:endParaRPr lang="es-PE" sz="900" b="1"/>
        </a:p>
      </xdr:txBody>
    </xdr:sp>
    <xdr:clientData/>
  </xdr:twoCellAnchor>
  <xdr:twoCellAnchor>
    <xdr:from>
      <xdr:col>2</xdr:col>
      <xdr:colOff>214594</xdr:colOff>
      <xdr:row>5</xdr:row>
      <xdr:rowOff>115514</xdr:rowOff>
    </xdr:from>
    <xdr:to>
      <xdr:col>10</xdr:col>
      <xdr:colOff>200026</xdr:colOff>
      <xdr:row>19</xdr:row>
      <xdr:rowOff>91151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938494" y="972764"/>
          <a:ext cx="6691032" cy="2328312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=""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=""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=""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=""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=""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=""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44314" y="3258488"/>
          <a:ext cx="4025694" cy="5407325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=""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=""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=""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=""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=""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=""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Feb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tabSelected="1" view="pageBreakPreview" zoomScale="110" zoomScaleNormal="100" zoomScaleSheetLayoutView="110" workbookViewId="0">
      <selection activeCell="C1" sqref="C1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2.7109375" style="9" customWidth="1"/>
    <col min="4" max="4" width="12" style="9" customWidth="1"/>
    <col min="5" max="6" width="9.7109375" style="9" customWidth="1"/>
    <col min="7" max="7" width="7.28515625" style="9" customWidth="1"/>
    <col min="8" max="9" width="11.7109375" style="9" customWidth="1"/>
    <col min="10" max="10" width="5.7109375" style="9" customWidth="1"/>
    <col min="11" max="11" width="7.5703125" style="9" customWidth="1"/>
    <col min="12" max="12" width="11.140625" customWidth="1"/>
    <col min="14" max="16" width="11.42578125" style="1"/>
    <col min="17" max="17" width="14.5703125" customWidth="1"/>
    <col min="18" max="18" width="12.42578125" customWidth="1"/>
  </cols>
  <sheetData>
    <row r="2" spans="2:19" ht="15">
      <c r="B2" s="2" t="s">
        <v>125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113</v>
      </c>
    </row>
    <row r="8" spans="2:19" s="1" customFormat="1">
      <c r="B8" s="8"/>
      <c r="C8" s="127"/>
      <c r="D8" s="127"/>
      <c r="E8" s="127"/>
      <c r="F8" s="127"/>
      <c r="G8" s="127"/>
      <c r="H8" s="9"/>
      <c r="I8" s="9"/>
      <c r="J8" s="9"/>
      <c r="K8" s="9"/>
    </row>
    <row r="9" spans="2:19" s="1" customFormat="1" ht="25.5">
      <c r="B9" s="8"/>
      <c r="C9" s="177" t="s">
        <v>62</v>
      </c>
      <c r="D9" s="178" t="s">
        <v>69</v>
      </c>
      <c r="E9" s="179" t="s">
        <v>70</v>
      </c>
      <c r="F9" s="180" t="s">
        <v>71</v>
      </c>
      <c r="G9" s="181" t="s">
        <v>72</v>
      </c>
      <c r="H9" s="9"/>
      <c r="I9" s="9"/>
      <c r="J9" s="9"/>
      <c r="K9" s="9"/>
    </row>
    <row r="10" spans="2:19" s="1" customFormat="1" ht="13.5" thickBot="1">
      <c r="B10" s="8"/>
      <c r="C10" s="182" t="s">
        <v>63</v>
      </c>
      <c r="D10" s="183"/>
      <c r="E10" s="184"/>
      <c r="F10" s="185"/>
      <c r="G10" s="186"/>
      <c r="H10" s="9"/>
      <c r="I10" s="9"/>
      <c r="J10" s="9"/>
      <c r="K10" s="9"/>
    </row>
    <row r="11" spans="2:19" s="1" customFormat="1" ht="13.5" thickTop="1">
      <c r="B11" s="8"/>
      <c r="C11" s="128"/>
      <c r="D11" s="129"/>
      <c r="E11" s="130"/>
      <c r="F11" s="131"/>
      <c r="G11" s="132"/>
      <c r="H11" s="9"/>
      <c r="I11" s="9"/>
      <c r="J11" s="9"/>
      <c r="K11" s="9"/>
      <c r="Q11" s="372" t="s">
        <v>64</v>
      </c>
      <c r="R11" s="142" t="s">
        <v>41</v>
      </c>
      <c r="S11" s="143">
        <f>E12</f>
        <v>42.287547645207844</v>
      </c>
    </row>
    <row r="12" spans="2:19" s="1" customFormat="1">
      <c r="B12" s="8"/>
      <c r="C12" s="133" t="s">
        <v>66</v>
      </c>
      <c r="D12" s="134">
        <v>1999.8257537191989</v>
      </c>
      <c r="E12" s="135">
        <v>42.287547645207844</v>
      </c>
      <c r="F12" s="136">
        <f>SUM(D12:E12)</f>
        <v>2042.1133013644069</v>
      </c>
      <c r="G12" s="327">
        <f>(F12/F$16)</f>
        <v>0.40885783435446671</v>
      </c>
      <c r="H12" s="9"/>
      <c r="I12" s="9"/>
      <c r="J12" s="9"/>
      <c r="K12" s="9"/>
      <c r="Q12" s="372"/>
      <c r="R12" s="142" t="s">
        <v>73</v>
      </c>
      <c r="S12" s="143">
        <f>E13</f>
        <v>103.53158216585371</v>
      </c>
    </row>
    <row r="13" spans="2:19" s="1" customFormat="1">
      <c r="B13" s="8"/>
      <c r="C13" s="133" t="s">
        <v>65</v>
      </c>
      <c r="D13" s="134">
        <v>2605.7313070912328</v>
      </c>
      <c r="E13" s="135">
        <v>103.53158216585371</v>
      </c>
      <c r="F13" s="136">
        <f>SUM(D13:E13)</f>
        <v>2709.2628892570865</v>
      </c>
      <c r="G13" s="327">
        <f>(F13/F$16)</f>
        <v>0.5424299214242827</v>
      </c>
      <c r="H13" s="9"/>
      <c r="I13" s="9"/>
      <c r="J13" s="9"/>
      <c r="K13" s="9"/>
      <c r="Q13" s="372" t="s">
        <v>88</v>
      </c>
      <c r="R13" s="142" t="s">
        <v>41</v>
      </c>
      <c r="S13" s="143">
        <f>D12</f>
        <v>1999.8257537191989</v>
      </c>
    </row>
    <row r="14" spans="2:19" s="1" customFormat="1">
      <c r="B14" s="8"/>
      <c r="C14" s="133" t="s">
        <v>67</v>
      </c>
      <c r="D14" s="134">
        <v>175.87279176499999</v>
      </c>
      <c r="E14" s="137"/>
      <c r="F14" s="136">
        <f>SUM(D14:E14)</f>
        <v>175.87279176499999</v>
      </c>
      <c r="G14" s="327">
        <f>(F14/F$16)</f>
        <v>3.521203682228035E-2</v>
      </c>
      <c r="H14" s="9"/>
      <c r="I14" s="9"/>
      <c r="J14" s="9"/>
      <c r="K14" s="9"/>
      <c r="Q14" s="372"/>
      <c r="R14" s="142" t="s">
        <v>73</v>
      </c>
      <c r="S14" s="143">
        <f>D13</f>
        <v>2605.7313070912328</v>
      </c>
    </row>
    <row r="15" spans="2:19" s="1" customFormat="1" ht="13.5" thickBot="1">
      <c r="B15" s="8"/>
      <c r="C15" s="138" t="s">
        <v>5</v>
      </c>
      <c r="D15" s="139">
        <v>67.429191234999962</v>
      </c>
      <c r="E15" s="140"/>
      <c r="F15" s="141">
        <f>SUM(D15:E15)</f>
        <v>67.429191234999962</v>
      </c>
      <c r="G15" s="328">
        <f>(F15/F$16)</f>
        <v>1.3500207398970222E-2</v>
      </c>
      <c r="H15" s="9"/>
      <c r="I15" s="9"/>
      <c r="J15" s="9"/>
      <c r="K15" s="9"/>
      <c r="Q15" s="372"/>
      <c r="R15" s="142" t="s">
        <v>87</v>
      </c>
      <c r="S15" s="143">
        <f>SUM(D14:D15)</f>
        <v>243.30198299999995</v>
      </c>
    </row>
    <row r="16" spans="2:19" s="1" customFormat="1" ht="13.5" thickTop="1">
      <c r="B16" s="8"/>
      <c r="C16" s="241" t="s">
        <v>71</v>
      </c>
      <c r="D16" s="242">
        <f>SUM(D12:D15)</f>
        <v>4848.859043810432</v>
      </c>
      <c r="E16" s="243">
        <f>SUM(E12:E15)</f>
        <v>145.81912981106154</v>
      </c>
      <c r="F16" s="244">
        <f>SUM(F12:F15)</f>
        <v>4994.6781736214934</v>
      </c>
      <c r="G16" s="245"/>
      <c r="H16" s="9"/>
      <c r="I16" s="9"/>
      <c r="J16" s="9"/>
      <c r="K16" s="9"/>
    </row>
    <row r="17" spans="2:19" s="1" customFormat="1">
      <c r="B17" s="8"/>
      <c r="C17" s="246" t="s">
        <v>109</v>
      </c>
      <c r="D17" s="309">
        <f>D16/F16</f>
        <v>0.97080510000000009</v>
      </c>
      <c r="E17" s="310">
        <f>E16/F16</f>
        <v>2.9194899999999881E-2</v>
      </c>
      <c r="F17" s="247"/>
      <c r="G17" s="248"/>
      <c r="H17" s="9"/>
      <c r="I17" s="9"/>
      <c r="J17" s="9"/>
      <c r="K17" s="9"/>
    </row>
    <row r="18" spans="2:19" s="1" customFormat="1">
      <c r="B18" s="8"/>
      <c r="C18" s="128"/>
      <c r="D18" s="128"/>
      <c r="E18" s="128"/>
      <c r="F18" s="128"/>
      <c r="G18" s="128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118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5" thickBot="1">
      <c r="B22" s="8"/>
      <c r="C22" s="128"/>
      <c r="D22" s="128"/>
      <c r="E22" s="128"/>
      <c r="F22" s="128"/>
      <c r="G22" s="128"/>
      <c r="H22" s="127"/>
      <c r="I22" s="127"/>
      <c r="J22" s="127"/>
      <c r="K22" s="9"/>
    </row>
    <row r="23" spans="2:19" s="1" customFormat="1" ht="12.75" customHeight="1">
      <c r="B23" s="8"/>
      <c r="C23" s="368" t="s">
        <v>112</v>
      </c>
      <c r="D23" s="369"/>
      <c r="E23" s="373" t="s">
        <v>126</v>
      </c>
      <c r="F23" s="374"/>
      <c r="G23" s="147" t="s">
        <v>74</v>
      </c>
      <c r="H23" s="375" t="s">
        <v>127</v>
      </c>
      <c r="I23" s="376"/>
      <c r="J23" s="147" t="s">
        <v>74</v>
      </c>
      <c r="K23" s="9"/>
      <c r="Q23" s="142"/>
      <c r="R23" s="142">
        <v>2021</v>
      </c>
      <c r="S23" s="142">
        <v>2022</v>
      </c>
    </row>
    <row r="24" spans="2:19" s="1" customFormat="1" ht="12.75" customHeight="1">
      <c r="B24" s="8"/>
      <c r="C24" s="148"/>
      <c r="D24" s="149"/>
      <c r="E24" s="150">
        <v>2021</v>
      </c>
      <c r="F24" s="151">
        <v>2022</v>
      </c>
      <c r="G24" s="152"/>
      <c r="H24" s="231">
        <v>2021</v>
      </c>
      <c r="I24" s="151">
        <v>2022</v>
      </c>
      <c r="J24" s="152"/>
      <c r="K24" s="9"/>
      <c r="Q24" s="142" t="s">
        <v>76</v>
      </c>
      <c r="R24" s="143">
        <f>E29</f>
        <v>149.89706198013931</v>
      </c>
      <c r="S24" s="143">
        <f>F29</f>
        <v>141.11981892228118</v>
      </c>
    </row>
    <row r="25" spans="2:19" s="1" customFormat="1">
      <c r="B25" s="8"/>
      <c r="C25" s="364" t="s">
        <v>0</v>
      </c>
      <c r="D25" s="365"/>
      <c r="E25" s="187">
        <f>SUM(E26:E28)</f>
        <v>4681.9403229999971</v>
      </c>
      <c r="F25" s="188">
        <f>SUM(F26:F28)</f>
        <v>4853.558354699212</v>
      </c>
      <c r="G25" s="189">
        <f>((F25/E25)-1)</f>
        <v>3.6655322336370366E-2</v>
      </c>
      <c r="H25" s="232">
        <f>SUM(H26:H28)</f>
        <v>36754.408014999994</v>
      </c>
      <c r="I25" s="188">
        <f>SUM(I26:I28)</f>
        <v>37950.846791371456</v>
      </c>
      <c r="J25" s="189">
        <f>((I25/H25)-1)</f>
        <v>3.2552252668120119E-2</v>
      </c>
      <c r="K25" s="9"/>
      <c r="Q25" s="142" t="s">
        <v>0</v>
      </c>
      <c r="R25" s="143">
        <f>E25</f>
        <v>4681.9403229999971</v>
      </c>
      <c r="S25" s="143">
        <f>F25</f>
        <v>4853.558354699212</v>
      </c>
    </row>
    <row r="26" spans="2:19" s="1" customFormat="1">
      <c r="B26" s="8"/>
      <c r="C26" s="261" t="s">
        <v>62</v>
      </c>
      <c r="D26" s="270" t="s">
        <v>102</v>
      </c>
      <c r="E26" s="154">
        <v>4574.7552579999974</v>
      </c>
      <c r="F26" s="155">
        <v>4714.0607623925016</v>
      </c>
      <c r="G26" s="273">
        <f t="shared" ref="G26:G32" si="0">((F26/E26)-1)</f>
        <v>3.0450919565346624E-2</v>
      </c>
      <c r="H26" s="233">
        <v>35710.672217999992</v>
      </c>
      <c r="I26" s="155">
        <v>36705.326626975002</v>
      </c>
      <c r="J26" s="156">
        <f t="shared" ref="J26:J32" si="1">((I26/H26)-1)</f>
        <v>2.7853141573561668E-2</v>
      </c>
      <c r="K26" s="9"/>
    </row>
    <row r="27" spans="2:19" s="1" customFormat="1">
      <c r="B27" s="8"/>
      <c r="C27" s="262" t="s">
        <v>106</v>
      </c>
      <c r="D27" s="271" t="s">
        <v>77</v>
      </c>
      <c r="E27" s="264">
        <v>71.871983000000014</v>
      </c>
      <c r="F27" s="265">
        <v>97.783061989169525</v>
      </c>
      <c r="G27" s="274">
        <f t="shared" si="0"/>
        <v>0.36051710148542182</v>
      </c>
      <c r="H27" s="266">
        <v>703.91128800000001</v>
      </c>
      <c r="I27" s="265">
        <v>889.34268433561533</v>
      </c>
      <c r="J27" s="274">
        <f t="shared" si="1"/>
        <v>0.26343006497661858</v>
      </c>
      <c r="K27" s="9"/>
    </row>
    <row r="28" spans="2:19" s="1" customFormat="1">
      <c r="B28" s="8"/>
      <c r="C28" s="263" t="s">
        <v>64</v>
      </c>
      <c r="D28" s="272" t="s">
        <v>77</v>
      </c>
      <c r="E28" s="154">
        <v>35.313082000000001</v>
      </c>
      <c r="F28" s="155">
        <v>41.714530317541332</v>
      </c>
      <c r="G28" s="273">
        <f t="shared" si="0"/>
        <v>0.18127696465409993</v>
      </c>
      <c r="H28" s="233">
        <v>339.82450899999998</v>
      </c>
      <c r="I28" s="155">
        <v>356.17748006083758</v>
      </c>
      <c r="J28" s="273">
        <f t="shared" si="1"/>
        <v>4.8121811781496993E-2</v>
      </c>
      <c r="K28" s="9"/>
    </row>
    <row r="29" spans="2:19" s="1" customFormat="1">
      <c r="B29" s="8"/>
      <c r="C29" s="364" t="s">
        <v>76</v>
      </c>
      <c r="D29" s="365"/>
      <c r="E29" s="187">
        <f>SUM(E30:E31)</f>
        <v>149.89706198013931</v>
      </c>
      <c r="F29" s="188">
        <f>SUM(F30:F31)</f>
        <v>141.11981892228118</v>
      </c>
      <c r="G29" s="189">
        <f t="shared" si="0"/>
        <v>-5.8555137385021383E-2</v>
      </c>
      <c r="H29" s="232">
        <f>SUM(H30:H31)</f>
        <v>1209.548453841114</v>
      </c>
      <c r="I29" s="188">
        <f>SUM(I30:I31)</f>
        <v>1235.3710456581052</v>
      </c>
      <c r="J29" s="189">
        <f t="shared" si="1"/>
        <v>2.1348951945651784E-2</v>
      </c>
      <c r="K29" s="9"/>
      <c r="Q29" s="142"/>
      <c r="R29" s="142"/>
      <c r="S29" s="142"/>
    </row>
    <row r="30" spans="2:19" s="1" customFormat="1">
      <c r="B30" s="8"/>
      <c r="C30" s="267" t="s">
        <v>68</v>
      </c>
      <c r="D30" s="149"/>
      <c r="E30" s="154">
        <v>41.673245999999999</v>
      </c>
      <c r="F30" s="155">
        <v>37.015219428760972</v>
      </c>
      <c r="G30" s="273">
        <f t="shared" si="0"/>
        <v>-0.11177498799203278</v>
      </c>
      <c r="H30" s="233">
        <v>314.84486199999998</v>
      </c>
      <c r="I30" s="155">
        <v>322.41507766734219</v>
      </c>
      <c r="J30" s="273">
        <f t="shared" si="1"/>
        <v>2.4044272532363076E-2</v>
      </c>
      <c r="K30" s="9"/>
    </row>
    <row r="31" spans="2:19" s="1" customFormat="1" ht="13.5" thickBot="1">
      <c r="B31" s="8"/>
      <c r="C31" s="268" t="s">
        <v>64</v>
      </c>
      <c r="D31" s="269"/>
      <c r="E31" s="158">
        <v>108.22381598013931</v>
      </c>
      <c r="F31" s="159">
        <v>104.10459949352021</v>
      </c>
      <c r="G31" s="293">
        <f t="shared" si="0"/>
        <v>-3.806201480989202E-2</v>
      </c>
      <c r="H31" s="234">
        <v>894.70359184111396</v>
      </c>
      <c r="I31" s="159">
        <v>912.95596799076304</v>
      </c>
      <c r="J31" s="293">
        <f t="shared" si="1"/>
        <v>2.0400472643782974E-2</v>
      </c>
      <c r="K31" s="9"/>
    </row>
    <row r="32" spans="2:19" s="1" customFormat="1" ht="14.25" thickTop="1" thickBot="1">
      <c r="B32" s="8"/>
      <c r="C32" s="366" t="s">
        <v>108</v>
      </c>
      <c r="D32" s="367"/>
      <c r="E32" s="190">
        <f>SUM(E25,E29)</f>
        <v>4831.8373849801364</v>
      </c>
      <c r="F32" s="191">
        <f>SUM(F25,F29)</f>
        <v>4994.6781736214934</v>
      </c>
      <c r="G32" s="192">
        <f t="shared" si="0"/>
        <v>3.3701628524906768E-2</v>
      </c>
      <c r="H32" s="235">
        <f>SUM(H25,H29)</f>
        <v>37963.956468841105</v>
      </c>
      <c r="I32" s="191">
        <f>SUM(I25,I29)</f>
        <v>39186.217837029559</v>
      </c>
      <c r="J32" s="192">
        <f t="shared" si="1"/>
        <v>3.2195310549142153E-2</v>
      </c>
      <c r="K32" s="9"/>
    </row>
    <row r="33" spans="2:19" s="1" customFormat="1">
      <c r="B33" s="8"/>
      <c r="C33" s="304" t="s">
        <v>103</v>
      </c>
      <c r="D33" s="161"/>
      <c r="E33" s="161"/>
      <c r="F33" s="162"/>
      <c r="G33" s="127"/>
      <c r="H33" s="161"/>
      <c r="I33" s="161"/>
      <c r="J33" s="127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120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5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5"/>
      <c r="D38" s="146"/>
      <c r="E38" s="373" t="s">
        <v>126</v>
      </c>
      <c r="F38" s="374"/>
      <c r="G38" s="370" t="s">
        <v>74</v>
      </c>
      <c r="H38" s="375" t="s">
        <v>127</v>
      </c>
      <c r="I38" s="376"/>
      <c r="J38" s="370" t="s">
        <v>74</v>
      </c>
      <c r="K38" s="9"/>
      <c r="Q38" s="142"/>
      <c r="R38" s="142">
        <v>2021</v>
      </c>
      <c r="S38" s="142">
        <v>2022</v>
      </c>
    </row>
    <row r="39" spans="2:19" s="1" customFormat="1" ht="12.75" customHeight="1">
      <c r="B39" s="8"/>
      <c r="C39" s="148" t="s">
        <v>75</v>
      </c>
      <c r="D39" s="149"/>
      <c r="E39" s="150">
        <v>2021</v>
      </c>
      <c r="F39" s="151">
        <v>2022</v>
      </c>
      <c r="G39" s="371"/>
      <c r="H39" s="231">
        <v>2021</v>
      </c>
      <c r="I39" s="151">
        <v>2022</v>
      </c>
      <c r="J39" s="371"/>
      <c r="K39" s="9"/>
      <c r="Q39" s="142" t="s">
        <v>66</v>
      </c>
      <c r="R39" s="143">
        <f>SUM(E41,E46)</f>
        <v>1980.9936709999999</v>
      </c>
      <c r="S39" s="143">
        <f>SUM(F41,F46)</f>
        <v>2042.1133013644069</v>
      </c>
    </row>
    <row r="40" spans="2:19" s="1" customFormat="1">
      <c r="B40" s="8"/>
      <c r="C40" s="364" t="s">
        <v>68</v>
      </c>
      <c r="D40" s="365"/>
      <c r="E40" s="187">
        <f>SUM(E41:E44)</f>
        <v>4688.3004869999995</v>
      </c>
      <c r="F40" s="188">
        <f>SUM(F41:F44)</f>
        <v>4848.859043810432</v>
      </c>
      <c r="G40" s="189">
        <f>((F40/E40)-1)</f>
        <v>3.4246643801018939E-2</v>
      </c>
      <c r="H40" s="232">
        <f>SUM(H41:H44)</f>
        <v>36729.428367999993</v>
      </c>
      <c r="I40" s="188">
        <f>SUM(I41:I44)</f>
        <v>37917.084388977972</v>
      </c>
      <c r="J40" s="189">
        <f>((I40/H40)-1)</f>
        <v>3.2335271027869039E-2</v>
      </c>
      <c r="K40" s="9"/>
      <c r="Q40" s="142" t="s">
        <v>65</v>
      </c>
      <c r="R40" s="143">
        <f>SUM(E42,E47)</f>
        <v>2600.5789069801385</v>
      </c>
      <c r="S40" s="143">
        <f>SUM(F42,F47)</f>
        <v>2709.2628892570865</v>
      </c>
    </row>
    <row r="41" spans="2:19" s="1" customFormat="1">
      <c r="B41" s="8"/>
      <c r="C41" s="153" t="s">
        <v>66</v>
      </c>
      <c r="D41" s="128"/>
      <c r="E41" s="154">
        <v>1937.9013479999999</v>
      </c>
      <c r="F41" s="155">
        <f>D12</f>
        <v>1999.8257537191989</v>
      </c>
      <c r="G41" s="273">
        <f t="shared" ref="G41:G48" si="2">((F41/E41)-1)</f>
        <v>3.1954364334958463E-2</v>
      </c>
      <c r="H41" s="233">
        <v>21636.950124999996</v>
      </c>
      <c r="I41" s="155">
        <v>21318.745563079232</v>
      </c>
      <c r="J41" s="273">
        <f t="shared" ref="J41:J48" si="3">((I41/H41)-1)</f>
        <v>-1.4706534889734835E-2</v>
      </c>
      <c r="K41" s="9"/>
      <c r="Q41" s="142" t="s">
        <v>67</v>
      </c>
      <c r="R41" s="143">
        <f>E43</f>
        <v>182.678673</v>
      </c>
      <c r="S41" s="143">
        <f>F43</f>
        <v>175.87279176499999</v>
      </c>
    </row>
    <row r="42" spans="2:19" s="1" customFormat="1">
      <c r="B42" s="8"/>
      <c r="C42" s="153" t="s">
        <v>65</v>
      </c>
      <c r="D42" s="128"/>
      <c r="E42" s="154">
        <v>2500.1343319999992</v>
      </c>
      <c r="F42" s="155">
        <f>D13</f>
        <v>2605.7313070912328</v>
      </c>
      <c r="G42" s="273">
        <f t="shared" si="2"/>
        <v>4.2236520549981948E-2</v>
      </c>
      <c r="H42" s="233">
        <v>13377.553813999997</v>
      </c>
      <c r="I42" s="155">
        <v>14819.525120816235</v>
      </c>
      <c r="J42" s="273">
        <f t="shared" si="3"/>
        <v>0.10779035740504161</v>
      </c>
      <c r="K42" s="9"/>
      <c r="Q42" s="142" t="s">
        <v>5</v>
      </c>
      <c r="R42" s="143">
        <f>E44</f>
        <v>67.586133999999987</v>
      </c>
      <c r="S42" s="143">
        <f>F44</f>
        <v>67.429191234999962</v>
      </c>
    </row>
    <row r="43" spans="2:19" s="1" customFormat="1">
      <c r="B43" s="8"/>
      <c r="C43" s="153" t="s">
        <v>67</v>
      </c>
      <c r="D43" s="128"/>
      <c r="E43" s="154">
        <v>182.678673</v>
      </c>
      <c r="F43" s="155">
        <f>D14</f>
        <v>175.87279176499999</v>
      </c>
      <c r="G43" s="273">
        <f t="shared" si="2"/>
        <v>-3.7256025146405691E-2</v>
      </c>
      <c r="H43" s="233">
        <v>1214.9268529999999</v>
      </c>
      <c r="I43" s="155">
        <v>1272.4598224425001</v>
      </c>
      <c r="J43" s="273">
        <f t="shared" si="3"/>
        <v>4.7355089156548846E-2</v>
      </c>
      <c r="K43" s="9"/>
    </row>
    <row r="44" spans="2:19" s="1" customFormat="1">
      <c r="B44" s="8"/>
      <c r="C44" s="153" t="s">
        <v>5</v>
      </c>
      <c r="D44" s="128"/>
      <c r="E44" s="154">
        <v>67.586133999999987</v>
      </c>
      <c r="F44" s="155">
        <f>D15</f>
        <v>67.429191234999962</v>
      </c>
      <c r="G44" s="399">
        <f t="shared" si="2"/>
        <v>-2.3221148438528072E-3</v>
      </c>
      <c r="H44" s="233">
        <v>499.99757599999998</v>
      </c>
      <c r="I44" s="155">
        <v>506.35388263999999</v>
      </c>
      <c r="J44" s="156">
        <f t="shared" si="3"/>
        <v>1.2712674911047994E-2</v>
      </c>
      <c r="K44" s="9"/>
      <c r="Q44" s="142"/>
      <c r="R44" s="142"/>
      <c r="S44" s="142"/>
    </row>
    <row r="45" spans="2:19" s="1" customFormat="1">
      <c r="B45" s="8"/>
      <c r="C45" s="364" t="s">
        <v>64</v>
      </c>
      <c r="D45" s="365"/>
      <c r="E45" s="187">
        <f>SUM(E46:E47)</f>
        <v>143.53689798013926</v>
      </c>
      <c r="F45" s="188">
        <f>SUM(F46:F47)</f>
        <v>145.81912981106154</v>
      </c>
      <c r="G45" s="189">
        <f t="shared" si="2"/>
        <v>1.5899966231944562E-2</v>
      </c>
      <c r="H45" s="232">
        <f>SUM(H46:H47)</f>
        <v>1234.5281008411141</v>
      </c>
      <c r="I45" s="188">
        <f>SUM(I46:I47)</f>
        <v>1269.1334480516007</v>
      </c>
      <c r="J45" s="189">
        <f t="shared" si="3"/>
        <v>2.8031234920379067E-2</v>
      </c>
      <c r="K45" s="9"/>
    </row>
    <row r="46" spans="2:19" s="1" customFormat="1">
      <c r="B46" s="8"/>
      <c r="C46" s="153" t="s">
        <v>66</v>
      </c>
      <c r="D46" s="128"/>
      <c r="E46" s="154">
        <v>43.092322999999986</v>
      </c>
      <c r="F46" s="155">
        <f>E12</f>
        <v>42.287547645207844</v>
      </c>
      <c r="G46" s="156">
        <f t="shared" si="2"/>
        <v>-1.8675608525261955E-2</v>
      </c>
      <c r="H46" s="233">
        <v>435.49417900000003</v>
      </c>
      <c r="I46" s="155">
        <v>419.92936027902806</v>
      </c>
      <c r="J46" s="156">
        <f t="shared" si="3"/>
        <v>-3.5740589591145788E-2</v>
      </c>
      <c r="K46" s="9"/>
    </row>
    <row r="47" spans="2:19" s="1" customFormat="1" ht="13.5" thickBot="1">
      <c r="B47" s="8"/>
      <c r="C47" s="157" t="s">
        <v>65</v>
      </c>
      <c r="D47" s="128"/>
      <c r="E47" s="158">
        <v>100.44457498013927</v>
      </c>
      <c r="F47" s="159">
        <f>E13</f>
        <v>103.53158216585371</v>
      </c>
      <c r="G47" s="293">
        <f t="shared" si="2"/>
        <v>3.0733438678244518E-2</v>
      </c>
      <c r="H47" s="234">
        <v>799.03392184111408</v>
      </c>
      <c r="I47" s="159">
        <v>849.20408777257251</v>
      </c>
      <c r="J47" s="160">
        <f t="shared" si="3"/>
        <v>6.2788530699494638E-2</v>
      </c>
      <c r="K47" s="9"/>
    </row>
    <row r="48" spans="2:19" s="1" customFormat="1" ht="14.25" thickTop="1" thickBot="1">
      <c r="B48" s="8"/>
      <c r="C48" s="366" t="s">
        <v>108</v>
      </c>
      <c r="D48" s="367"/>
      <c r="E48" s="190">
        <f>SUM(E40,E45)</f>
        <v>4831.8373849801392</v>
      </c>
      <c r="F48" s="191">
        <f>SUM(F40,F45)</f>
        <v>4994.6781736214934</v>
      </c>
      <c r="G48" s="192">
        <f t="shared" si="2"/>
        <v>3.3701628524906102E-2</v>
      </c>
      <c r="H48" s="235">
        <f>SUM(H40,H45)</f>
        <v>37963.956468841105</v>
      </c>
      <c r="I48" s="191">
        <f>SUM(I40,I45)</f>
        <v>39186.217837029573</v>
      </c>
      <c r="J48" s="192">
        <f t="shared" si="3"/>
        <v>3.2195310549142597E-2</v>
      </c>
      <c r="K48" s="9"/>
    </row>
    <row r="49" spans="2:23" s="1" customFormat="1">
      <c r="B49" s="8"/>
      <c r="C49" s="259"/>
      <c r="D49" s="90"/>
      <c r="E49" s="91"/>
      <c r="F49" s="91"/>
      <c r="G49" s="93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3"/>
      <c r="H50" s="9"/>
      <c r="I50" s="9"/>
      <c r="J50" s="9"/>
      <c r="K50" s="9"/>
    </row>
    <row r="51" spans="2:23" s="1" customFormat="1">
      <c r="B51" s="8"/>
      <c r="C51" s="10" t="s">
        <v>119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54"/>
    </row>
    <row r="53" spans="2:23" s="1" customFormat="1" ht="13.5" thickBot="1">
      <c r="B53" s="8"/>
      <c r="C53" s="10"/>
      <c r="H53" s="9"/>
      <c r="I53" s="9"/>
      <c r="J53" s="9"/>
      <c r="K53" s="9"/>
      <c r="L53" s="254"/>
      <c r="M53" s="254"/>
    </row>
    <row r="54" spans="2:23" s="1" customFormat="1" ht="12.75" customHeight="1">
      <c r="B54" s="8"/>
      <c r="C54" s="145"/>
      <c r="D54" s="146"/>
      <c r="E54" s="373" t="s">
        <v>126</v>
      </c>
      <c r="F54" s="374"/>
      <c r="G54" s="370" t="s">
        <v>74</v>
      </c>
      <c r="H54" s="375" t="s">
        <v>127</v>
      </c>
      <c r="I54" s="376"/>
      <c r="J54" s="370" t="s">
        <v>74</v>
      </c>
      <c r="K54" s="9"/>
      <c r="L54" s="254"/>
      <c r="M54" s="254"/>
    </row>
    <row r="55" spans="2:23" s="1" customFormat="1" ht="12.75" customHeight="1">
      <c r="B55" s="8"/>
      <c r="C55" s="148" t="s">
        <v>75</v>
      </c>
      <c r="D55" s="149"/>
      <c r="E55" s="150">
        <v>2021</v>
      </c>
      <c r="F55" s="151">
        <v>2022</v>
      </c>
      <c r="G55" s="371"/>
      <c r="H55" s="231">
        <v>2021</v>
      </c>
      <c r="I55" s="151">
        <v>2022</v>
      </c>
      <c r="J55" s="371"/>
      <c r="K55" s="9"/>
      <c r="L55" s="254"/>
      <c r="M55" s="254"/>
    </row>
    <row r="56" spans="2:23" s="1" customFormat="1">
      <c r="B56" s="8"/>
      <c r="C56" s="364" t="s">
        <v>68</v>
      </c>
      <c r="D56" s="365"/>
      <c r="E56" s="187">
        <f>SUM(E57:E60)</f>
        <v>4688.3004869999995</v>
      </c>
      <c r="F56" s="188">
        <f>SUM(F57:F60)</f>
        <v>4848.8590438104311</v>
      </c>
      <c r="G56" s="189">
        <f>((F56/E56)-1)</f>
        <v>3.4246643801018717E-2</v>
      </c>
      <c r="H56" s="232">
        <f>SUM(H57:H60)</f>
        <v>36729.428367999993</v>
      </c>
      <c r="I56" s="188">
        <f>SUM(I57:I60)</f>
        <v>37917.084388977964</v>
      </c>
      <c r="J56" s="189">
        <f>((I56/H56)-1)</f>
        <v>3.2335271027868817E-2</v>
      </c>
      <c r="K56" s="9"/>
    </row>
    <row r="57" spans="2:23" s="1" customFormat="1" ht="25.5">
      <c r="B57" s="8"/>
      <c r="C57" s="378" t="s">
        <v>78</v>
      </c>
      <c r="D57" s="275" t="s">
        <v>79</v>
      </c>
      <c r="E57" s="317">
        <f>SUM(E43:E44)+40.624301</f>
        <v>290.88910799999996</v>
      </c>
      <c r="F57" s="318">
        <f>SUM(F43:F44)+34.8782677526636</f>
        <v>278.18025075266354</v>
      </c>
      <c r="G57" s="167">
        <f t="shared" ref="G57:G65" si="4">((F57/E57)-1)</f>
        <v>-4.3689697887678958E-2</v>
      </c>
      <c r="H57" s="319">
        <f>SUM(H43:H44)+233.687795</f>
        <v>1948.612224</v>
      </c>
      <c r="I57" s="318">
        <f>SUM(I43:I44)+209.326491050164</f>
        <v>1988.1401961326642</v>
      </c>
      <c r="J57" s="167">
        <f t="shared" ref="J57:J65" si="5">((I57/H57)-1)</f>
        <v>2.0285191504918032E-2</v>
      </c>
      <c r="K57" s="9"/>
      <c r="L57" s="254"/>
      <c r="Q57" s="142"/>
      <c r="R57" s="142"/>
      <c r="T57" s="142">
        <v>2021</v>
      </c>
      <c r="U57" s="142">
        <v>2022</v>
      </c>
      <c r="V57" s="142"/>
      <c r="W57" s="142"/>
    </row>
    <row r="58" spans="2:23" s="1" customFormat="1" ht="13.5">
      <c r="B58" s="8"/>
      <c r="C58" s="379"/>
      <c r="D58" s="276" t="s">
        <v>110</v>
      </c>
      <c r="E58" s="264">
        <v>111.17002403999982</v>
      </c>
      <c r="F58" s="322">
        <v>111.72030604999989</v>
      </c>
      <c r="G58" s="362">
        <f t="shared" si="4"/>
        <v>4.9499135648480852E-3</v>
      </c>
      <c r="H58" s="266">
        <v>1601.3505997924995</v>
      </c>
      <c r="I58" s="265">
        <v>1496.0207361925006</v>
      </c>
      <c r="J58" s="274">
        <f t="shared" si="5"/>
        <v>-6.5775641894815107E-2</v>
      </c>
      <c r="K58" s="9"/>
      <c r="L58" s="254"/>
      <c r="M58" s="254"/>
      <c r="Q58" s="372" t="s">
        <v>80</v>
      </c>
      <c r="R58" s="142" t="s">
        <v>66</v>
      </c>
      <c r="T58" s="143">
        <f>SUM(E60,E64)</f>
        <v>1869.8236469600001</v>
      </c>
      <c r="U58" s="143">
        <f>SUM(F60,F64)</f>
        <v>1930.392995314407</v>
      </c>
      <c r="V58" s="144">
        <f t="shared" ref="V58:W61" si="6">T58/T$64</f>
        <v>0.38697983768501476</v>
      </c>
      <c r="W58" s="144">
        <f t="shared" si="6"/>
        <v>0.38648996556163218</v>
      </c>
    </row>
    <row r="59" spans="2:23" s="1" customFormat="1">
      <c r="B59" s="8"/>
      <c r="C59" s="377" t="s">
        <v>80</v>
      </c>
      <c r="D59" s="277" t="s">
        <v>81</v>
      </c>
      <c r="E59" s="154">
        <f>SUM(E42:E44)-E57</f>
        <v>2459.5100309999993</v>
      </c>
      <c r="F59" s="155">
        <f>SUM(F42:F44)-F57</f>
        <v>2570.853039338569</v>
      </c>
      <c r="G59" s="273">
        <f t="shared" si="4"/>
        <v>4.5270402208239524E-2</v>
      </c>
      <c r="H59" s="233">
        <f>SUM(H42:H44)-H57</f>
        <v>13143.866018999996</v>
      </c>
      <c r="I59" s="155">
        <f>SUM(I42:I44)-I57</f>
        <v>14610.198629766071</v>
      </c>
      <c r="J59" s="273">
        <f t="shared" si="5"/>
        <v>0.11156022198084137</v>
      </c>
      <c r="K59" s="9"/>
      <c r="Q59" s="372"/>
      <c r="R59" s="142" t="s">
        <v>65</v>
      </c>
      <c r="T59" s="143">
        <f>SUM(E59,E63)</f>
        <v>2537.9948859801384</v>
      </c>
      <c r="U59" s="143">
        <f>SUM(F59,F63)</f>
        <v>2655.9915911482926</v>
      </c>
      <c r="V59" s="144">
        <f t="shared" si="6"/>
        <v>0.52526496315243254</v>
      </c>
      <c r="W59" s="144">
        <f t="shared" si="6"/>
        <v>0.53176430969575594</v>
      </c>
    </row>
    <row r="60" spans="2:23" s="1" customFormat="1">
      <c r="B60" s="8"/>
      <c r="C60" s="377"/>
      <c r="D60" s="278" t="s">
        <v>41</v>
      </c>
      <c r="E60" s="154">
        <f>E41-E58</f>
        <v>1826.7313239600001</v>
      </c>
      <c r="F60" s="155">
        <f>F41-F58</f>
        <v>1888.1054476691991</v>
      </c>
      <c r="G60" s="156">
        <f t="shared" si="4"/>
        <v>3.3597783595319175E-2</v>
      </c>
      <c r="H60" s="233">
        <f>H41-H58</f>
        <v>20035.599525207497</v>
      </c>
      <c r="I60" s="155">
        <f>I41-I58</f>
        <v>19822.72482688673</v>
      </c>
      <c r="J60" s="273">
        <f t="shared" si="5"/>
        <v>-1.0624822983357318E-2</v>
      </c>
      <c r="K60" s="9"/>
      <c r="Q60" s="372" t="s">
        <v>78</v>
      </c>
      <c r="R60" s="142" t="s">
        <v>66</v>
      </c>
      <c r="T60" s="143">
        <f>E58</f>
        <v>111.17002403999982</v>
      </c>
      <c r="U60" s="143">
        <f>F58</f>
        <v>111.72030604999989</v>
      </c>
      <c r="V60" s="144">
        <f t="shared" si="6"/>
        <v>2.3007815698759652E-2</v>
      </c>
      <c r="W60" s="144">
        <f t="shared" si="6"/>
        <v>2.2367868792834516E-2</v>
      </c>
    </row>
    <row r="61" spans="2:23" s="1" customFormat="1">
      <c r="B61" s="8"/>
      <c r="C61" s="364" t="s">
        <v>64</v>
      </c>
      <c r="D61" s="365"/>
      <c r="E61" s="187">
        <f>SUM(E62:E64)</f>
        <v>143.53689798013926</v>
      </c>
      <c r="F61" s="188">
        <f>SUM(F62:F64)</f>
        <v>145.81912981106154</v>
      </c>
      <c r="G61" s="189">
        <f t="shared" si="4"/>
        <v>1.5899966231944562E-2</v>
      </c>
      <c r="H61" s="232">
        <f>SUM(H62:H64)</f>
        <v>1234.5281008411141</v>
      </c>
      <c r="I61" s="188">
        <f>SUM(I62:I64)</f>
        <v>1269.1334480516007</v>
      </c>
      <c r="J61" s="189">
        <f t="shared" si="5"/>
        <v>2.8031234920379067E-2</v>
      </c>
      <c r="K61" s="9"/>
      <c r="Q61" s="372"/>
      <c r="R61" s="142" t="s">
        <v>89</v>
      </c>
      <c r="T61" s="143">
        <f>E57+E62</f>
        <v>312.84882799999997</v>
      </c>
      <c r="U61" s="143">
        <f>F57+F62</f>
        <v>296.57328110879365</v>
      </c>
      <c r="V61" s="144">
        <f t="shared" si="6"/>
        <v>6.4747383463793037E-2</v>
      </c>
      <c r="W61" s="144">
        <f t="shared" si="6"/>
        <v>5.9377855949777271E-2</v>
      </c>
    </row>
    <row r="62" spans="2:23" s="1" customFormat="1">
      <c r="B62" s="8"/>
      <c r="C62" s="305" t="s">
        <v>78</v>
      </c>
      <c r="D62" s="306" t="s">
        <v>114</v>
      </c>
      <c r="E62" s="355">
        <v>21.959720000000001</v>
      </c>
      <c r="F62" s="320">
        <v>18.393030356130101</v>
      </c>
      <c r="G62" s="307">
        <f t="shared" si="4"/>
        <v>-0.16241963212053245</v>
      </c>
      <c r="H62" s="321">
        <v>123.19183099999999</v>
      </c>
      <c r="I62" s="320">
        <v>122.17973935613011</v>
      </c>
      <c r="J62" s="307">
        <f t="shared" si="5"/>
        <v>-8.2155743254589408E-3</v>
      </c>
      <c r="K62" s="9"/>
      <c r="Q62" s="142"/>
      <c r="R62" s="142"/>
      <c r="T62" s="142"/>
      <c r="U62" s="142"/>
      <c r="V62" s="142"/>
      <c r="W62" s="142"/>
    </row>
    <row r="63" spans="2:23" s="1" customFormat="1">
      <c r="B63" s="8"/>
      <c r="C63" s="380" t="s">
        <v>80</v>
      </c>
      <c r="D63" s="277" t="s">
        <v>81</v>
      </c>
      <c r="E63" s="154">
        <f>E47-E62</f>
        <v>78.484854980139261</v>
      </c>
      <c r="F63" s="155">
        <f>F47-F62</f>
        <v>85.138551809723609</v>
      </c>
      <c r="G63" s="273">
        <f>((F63/E63)-1)</f>
        <v>8.4776825175609805E-2</v>
      </c>
      <c r="H63" s="233">
        <f>H47-H62</f>
        <v>675.8420908411141</v>
      </c>
      <c r="I63" s="155">
        <f>I47-I62</f>
        <v>727.02434841644242</v>
      </c>
      <c r="J63" s="273">
        <f>((I63/H63)-1)</f>
        <v>7.5731089064946966E-2</v>
      </c>
      <c r="K63" s="9"/>
      <c r="Q63" s="142"/>
      <c r="R63" s="142"/>
      <c r="T63" s="142"/>
      <c r="U63" s="142"/>
      <c r="V63" s="142"/>
      <c r="W63" s="142"/>
    </row>
    <row r="64" spans="2:23" s="1" customFormat="1" ht="13.5" thickBot="1">
      <c r="B64" s="8"/>
      <c r="C64" s="381"/>
      <c r="D64" s="279" t="s">
        <v>41</v>
      </c>
      <c r="E64" s="158">
        <f>E46</f>
        <v>43.092322999999986</v>
      </c>
      <c r="F64" s="159">
        <f>F46</f>
        <v>42.287547645207844</v>
      </c>
      <c r="G64" s="160">
        <f t="shared" si="4"/>
        <v>-1.8675608525261955E-2</v>
      </c>
      <c r="H64" s="234">
        <f>H46</f>
        <v>435.49417900000003</v>
      </c>
      <c r="I64" s="159">
        <f>I46</f>
        <v>419.92936027902806</v>
      </c>
      <c r="J64" s="160">
        <f t="shared" si="5"/>
        <v>-3.5740589591145788E-2</v>
      </c>
      <c r="K64" s="9"/>
      <c r="Q64" s="142"/>
      <c r="R64" s="142"/>
      <c r="T64" s="143">
        <f>SUM(T58:T61)</f>
        <v>4831.8373849801383</v>
      </c>
      <c r="U64" s="143">
        <f>SUM(U58:U61)</f>
        <v>4994.6781736214934</v>
      </c>
      <c r="V64" s="142"/>
      <c r="W64" s="142"/>
    </row>
    <row r="65" spans="2:22" s="1" customFormat="1" ht="14.25" thickTop="1" thickBot="1">
      <c r="B65" s="8"/>
      <c r="C65" s="366" t="s">
        <v>108</v>
      </c>
      <c r="D65" s="367"/>
      <c r="E65" s="190">
        <f>SUM(E56,E61)</f>
        <v>4831.8373849801392</v>
      </c>
      <c r="F65" s="191">
        <f>SUM(F56,F61)</f>
        <v>4994.6781736214925</v>
      </c>
      <c r="G65" s="192">
        <f t="shared" si="4"/>
        <v>3.370162852490588E-2</v>
      </c>
      <c r="H65" s="235">
        <f>SUM(H56,H61)</f>
        <v>37963.956468841105</v>
      </c>
      <c r="I65" s="191">
        <f>SUM(I56,I61)</f>
        <v>39186.217837029566</v>
      </c>
      <c r="J65" s="192">
        <f t="shared" si="5"/>
        <v>3.2195310549142375E-2</v>
      </c>
      <c r="K65" s="9"/>
      <c r="Q65" s="142"/>
      <c r="R65" s="142"/>
      <c r="S65" s="142"/>
      <c r="T65" s="142"/>
      <c r="U65" s="142"/>
      <c r="V65" s="142"/>
    </row>
    <row r="66" spans="2:22" s="1" customFormat="1">
      <c r="B66" s="8"/>
      <c r="C66" s="259" t="s">
        <v>111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3"/>
      <c r="H83" s="9"/>
      <c r="I83" s="9"/>
      <c r="J83" s="9"/>
      <c r="K83" s="9"/>
    </row>
  </sheetData>
  <mergeCells count="27"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view="pageBreakPreview" topLeftCell="A22" zoomScaleNormal="100" zoomScaleSheetLayoutView="100" workbookViewId="0">
      <selection activeCell="C26" sqref="C26:I35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9.7109375" style="20" customWidth="1"/>
    <col min="7" max="7" width="11.7109375" style="20" customWidth="1"/>
    <col min="8" max="8" width="12.7109375" style="20" customWidth="1"/>
    <col min="9" max="9" width="9.7109375" style="20" customWidth="1"/>
    <col min="10" max="10" width="6.85546875" style="20" customWidth="1"/>
    <col min="11" max="11" width="6.85546875" style="54" customWidth="1"/>
    <col min="12" max="12" width="27.5703125" style="54" customWidth="1"/>
    <col min="13" max="13" width="21.85546875" style="55" customWidth="1"/>
    <col min="14" max="21" width="11.42578125" style="55"/>
    <col min="22" max="25" width="11.42578125" style="57"/>
    <col min="26" max="28" width="11.425781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5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5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2042.1133013644069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2504.7591621863185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151.12462775869881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53.271298108793701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175.87279176499999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67.429191234999962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80">
        <f t="shared" si="0"/>
        <v>0.10780120327624294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4994.6781736214934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 t="s">
        <v>128</v>
      </c>
      <c r="D23" s="26"/>
      <c r="E23" s="26"/>
      <c r="F23" s="311"/>
      <c r="G23" s="258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121</v>
      </c>
      <c r="D24" s="9"/>
      <c r="E24" s="13"/>
      <c r="F24" s="13"/>
      <c r="G24" s="13"/>
      <c r="H24" s="26"/>
      <c r="I24" s="26"/>
      <c r="J24" s="294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5" thickBot="1">
      <c r="B25" s="10"/>
      <c r="C25" s="127"/>
      <c r="D25" s="127"/>
      <c r="E25" s="163"/>
      <c r="F25" s="163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295" t="s">
        <v>61</v>
      </c>
      <c r="D26" s="384" t="s">
        <v>126</v>
      </c>
      <c r="E26" s="384"/>
      <c r="F26" s="385" t="s">
        <v>74</v>
      </c>
      <c r="G26" s="387" t="s">
        <v>127</v>
      </c>
      <c r="H26" s="388"/>
      <c r="I26" s="385" t="s">
        <v>74</v>
      </c>
      <c r="J26" s="20"/>
      <c r="K26" s="54"/>
      <c r="L26" s="54"/>
      <c r="M26" s="55"/>
      <c r="N26" s="70">
        <v>2021</v>
      </c>
      <c r="O26" s="70">
        <v>2022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296"/>
      <c r="D27" s="94">
        <v>2021</v>
      </c>
      <c r="E27" s="95">
        <v>2022</v>
      </c>
      <c r="F27" s="386"/>
      <c r="G27" s="236">
        <v>2021</v>
      </c>
      <c r="H27" s="95">
        <v>2022</v>
      </c>
      <c r="I27" s="386"/>
      <c r="J27" s="20"/>
      <c r="K27" s="54"/>
      <c r="L27" s="54"/>
      <c r="M27" s="55" t="s">
        <v>85</v>
      </c>
      <c r="N27" s="70">
        <f t="shared" ref="N27:O29" si="1">D28</f>
        <v>1980.9936709999999</v>
      </c>
      <c r="O27" s="70">
        <f t="shared" si="1"/>
        <v>2042.1133013644069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4" t="s">
        <v>85</v>
      </c>
      <c r="D28" s="165">
        <f>'Resumen (G)'!E41+'Resumen (G)'!E46</f>
        <v>1980.9936709999999</v>
      </c>
      <c r="E28" s="166">
        <f>'Resumen (G)'!F41+'Resumen (G)'!F46</f>
        <v>2042.1133013644069</v>
      </c>
      <c r="F28" s="167">
        <f>+E28/D28-1</f>
        <v>3.0853016473068262E-2</v>
      </c>
      <c r="G28" s="249">
        <f>'Resumen (G)'!H41+'Resumen (G)'!H46</f>
        <v>22072.444303999997</v>
      </c>
      <c r="H28" s="166">
        <f>'Resumen (G)'!I41+'Resumen (G)'!I46</f>
        <v>21738.67492335826</v>
      </c>
      <c r="I28" s="167">
        <f>+H28/G28-1</f>
        <v>-1.5121541413573802E-2</v>
      </c>
      <c r="J28" s="294"/>
      <c r="K28" s="54"/>
      <c r="L28" s="54"/>
      <c r="M28" s="55" t="s">
        <v>2</v>
      </c>
      <c r="N28" s="70">
        <f t="shared" si="1"/>
        <v>2448.8344780000002</v>
      </c>
      <c r="O28" s="70">
        <f t="shared" si="1"/>
        <v>2504.7591621863185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68" t="s">
        <v>2</v>
      </c>
      <c r="D29" s="169">
        <v>2448.8344780000002</v>
      </c>
      <c r="E29" s="170">
        <v>2504.7591621863185</v>
      </c>
      <c r="F29" s="171">
        <f t="shared" ref="F29:F35" si="2">+E29/D29-1</f>
        <v>2.283726592741897E-2</v>
      </c>
      <c r="G29" s="250">
        <v>13177.872594</v>
      </c>
      <c r="H29" s="170">
        <v>14387.666633096316</v>
      </c>
      <c r="I29" s="171">
        <f t="shared" ref="I29:I35" si="3">+H29/G29-1</f>
        <v>9.1804957929791042E-2</v>
      </c>
      <c r="J29" s="256"/>
      <c r="K29" s="257"/>
      <c r="L29" s="54"/>
      <c r="M29" s="55" t="s">
        <v>84</v>
      </c>
      <c r="N29" s="70">
        <f t="shared" si="1"/>
        <v>88.955407980136442</v>
      </c>
      <c r="O29" s="70">
        <f t="shared" si="1"/>
        <v>151.12462775869881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68" t="s">
        <v>3</v>
      </c>
      <c r="D30" s="169">
        <f>'Resumen (G)'!E32-SUM('TipoRecurso (G)'!D28:D29,'TipoRecurso (G)'!D31:D34)</f>
        <v>88.955407980136442</v>
      </c>
      <c r="E30" s="170">
        <f>'Resumen (G)'!F32-SUM('TipoRecurso (G)'!E28:E29,'TipoRecurso (G)'!E31:E34)</f>
        <v>151.12462775869881</v>
      </c>
      <c r="F30" s="171">
        <f t="shared" si="2"/>
        <v>0.69888072226530196</v>
      </c>
      <c r="G30" s="250">
        <f>'Resumen (G)'!H32-SUM('TipoRecurso (G)'!G28:G29,'TipoRecurso (G)'!G31:G34)</f>
        <v>640.06566484110954</v>
      </c>
      <c r="H30" s="170">
        <f>'Resumen (G)'!I32-SUM('TipoRecurso (G)'!H28:H29,'TipoRecurso (G)'!H31:H34)</f>
        <v>948.47068753419444</v>
      </c>
      <c r="I30" s="171">
        <f t="shared" si="3"/>
        <v>0.48183341121671264</v>
      </c>
      <c r="J30" s="294"/>
      <c r="K30" s="54"/>
      <c r="L30" s="54"/>
      <c r="M30" s="55" t="s">
        <v>4</v>
      </c>
      <c r="N30" s="98">
        <f>D34</f>
        <v>0.20499999999999999</v>
      </c>
      <c r="O30" s="98">
        <f>E34</f>
        <v>0.10780120327624294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68" t="s">
        <v>6</v>
      </c>
      <c r="D31" s="169">
        <f>'Resumen (G)'!E57+'Resumen (G)'!E62-SUM('TipoRecurso (G)'!D32:D33)</f>
        <v>62.584020999999979</v>
      </c>
      <c r="E31" s="170">
        <f>'Resumen (G)'!F57+'Resumen (G)'!F62-SUM('TipoRecurso (G)'!E32:E33)</f>
        <v>53.271298108793701</v>
      </c>
      <c r="F31" s="171">
        <f t="shared" si="2"/>
        <v>-0.14880352432462407</v>
      </c>
      <c r="G31" s="250">
        <f>'Resumen (G)'!H57+'Resumen (G)'!H62-SUM('TipoRecurso (G)'!G32:G33)</f>
        <v>356.87962600000014</v>
      </c>
      <c r="H31" s="170">
        <f>'Resumen (G)'!I57+'Resumen (G)'!I62-SUM('TipoRecurso (G)'!H32:H33)</f>
        <v>331.50623040629421</v>
      </c>
      <c r="I31" s="171">
        <f t="shared" si="3"/>
        <v>-7.1097910177999157E-2</v>
      </c>
      <c r="J31" s="20"/>
      <c r="K31" s="54"/>
      <c r="L31" s="54"/>
      <c r="M31" s="55" t="s">
        <v>90</v>
      </c>
      <c r="N31" s="70">
        <f t="shared" ref="N31:O33" si="4">D31</f>
        <v>62.584020999999979</v>
      </c>
      <c r="O31" s="70">
        <f t="shared" si="4"/>
        <v>53.271298108793701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68" t="s">
        <v>14</v>
      </c>
      <c r="D32" s="169">
        <f>'Resumen (G)'!E43</f>
        <v>182.678673</v>
      </c>
      <c r="E32" s="170">
        <f>'Resumen (G)'!F43</f>
        <v>175.87279176499999</v>
      </c>
      <c r="F32" s="171">
        <f t="shared" si="2"/>
        <v>-3.7256025146405691E-2</v>
      </c>
      <c r="G32" s="250">
        <f>'Resumen (G)'!H43</f>
        <v>1214.9268529999999</v>
      </c>
      <c r="H32" s="170">
        <f>'Resumen (G)'!I43</f>
        <v>1272.4598224425001</v>
      </c>
      <c r="I32" s="171">
        <f t="shared" si="3"/>
        <v>4.7355089156548846E-2</v>
      </c>
      <c r="J32" s="20"/>
      <c r="K32" s="54"/>
      <c r="L32" s="54"/>
      <c r="M32" s="55" t="s">
        <v>14</v>
      </c>
      <c r="N32" s="70">
        <f t="shared" si="4"/>
        <v>182.678673</v>
      </c>
      <c r="O32" s="70">
        <f t="shared" si="4"/>
        <v>175.87279176499999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68" t="s">
        <v>5</v>
      </c>
      <c r="D33" s="169">
        <f>'Resumen (G)'!E44</f>
        <v>67.586133999999987</v>
      </c>
      <c r="E33" s="170">
        <f>'Resumen (G)'!F44</f>
        <v>67.429191234999962</v>
      </c>
      <c r="F33" s="363">
        <f t="shared" si="2"/>
        <v>-2.3221148438528072E-3</v>
      </c>
      <c r="G33" s="250">
        <f>'Resumen (G)'!H44</f>
        <v>499.99757599999998</v>
      </c>
      <c r="H33" s="170">
        <f>'Resumen (G)'!I44</f>
        <v>506.35388263999999</v>
      </c>
      <c r="I33" s="171">
        <f t="shared" si="3"/>
        <v>1.2712674911047994E-2</v>
      </c>
      <c r="J33" s="20"/>
      <c r="K33" s="54"/>
      <c r="L33" s="54"/>
      <c r="M33" s="55" t="s">
        <v>5</v>
      </c>
      <c r="N33" s="70">
        <f t="shared" si="4"/>
        <v>67.586133999999987</v>
      </c>
      <c r="O33" s="70">
        <f t="shared" si="4"/>
        <v>67.429191234999962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5" thickBot="1">
      <c r="C34" s="172" t="s">
        <v>4</v>
      </c>
      <c r="D34" s="356">
        <v>0.20499999999999999</v>
      </c>
      <c r="E34" s="354">
        <v>0.10780120327624294</v>
      </c>
      <c r="F34" s="173">
        <f t="shared" si="2"/>
        <v>-0.47414047182320507</v>
      </c>
      <c r="G34" s="360">
        <v>1.7698509999999998</v>
      </c>
      <c r="H34" s="361">
        <v>1.0856575519960951</v>
      </c>
      <c r="I34" s="173">
        <f t="shared" si="3"/>
        <v>-0.38658251344542827</v>
      </c>
      <c r="J34" s="20"/>
      <c r="K34" s="54"/>
      <c r="L34" s="54"/>
      <c r="M34" s="96"/>
      <c r="N34" s="97">
        <f>SUM(N27:N33)</f>
        <v>4831.8373849801364</v>
      </c>
      <c r="O34" s="97">
        <f>SUM(O27:O33)</f>
        <v>4994.6781736214934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297" t="s">
        <v>108</v>
      </c>
      <c r="D35" s="298">
        <f>SUM(D28:D34)</f>
        <v>4831.8373849801364</v>
      </c>
      <c r="E35" s="299">
        <f>SUM(E28:E34)</f>
        <v>4994.6781736214934</v>
      </c>
      <c r="F35" s="300">
        <f t="shared" si="2"/>
        <v>3.3701628524906768E-2</v>
      </c>
      <c r="G35" s="301">
        <f>SUM(G28:G34)</f>
        <v>37963.956468841105</v>
      </c>
      <c r="H35" s="299">
        <f>SUM(H28:H34)</f>
        <v>39186.217837029559</v>
      </c>
      <c r="I35" s="302">
        <f t="shared" si="3"/>
        <v>3.2195310549142153E-2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4"/>
      <c r="D36" s="174"/>
      <c r="E36" s="175"/>
      <c r="F36" s="176"/>
      <c r="G36" s="17"/>
      <c r="H36" s="17"/>
      <c r="I36" s="18"/>
      <c r="J36" s="20"/>
      <c r="K36" s="54"/>
      <c r="L36" s="54"/>
      <c r="M36" s="55"/>
      <c r="N36" s="97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27"/>
      <c r="N39" s="227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27">
        <f t="shared" ref="M40:N46" si="5">N27/N$34</f>
        <v>0.40998765338377458</v>
      </c>
      <c r="N40" s="227">
        <f t="shared" si="5"/>
        <v>0.40885783435446671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27">
        <f t="shared" si="5"/>
        <v>0.50681227096181902</v>
      </c>
      <c r="N41" s="227">
        <f t="shared" si="5"/>
        <v>0.50148559629222145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27">
        <f t="shared" si="5"/>
        <v>1.841026526609859E-2</v>
      </c>
      <c r="N42" s="227">
        <f t="shared" si="5"/>
        <v>3.0257130190456859E-2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27">
        <f t="shared" si="5"/>
        <v>4.2426924514729451E-5</v>
      </c>
      <c r="N43" s="227">
        <f t="shared" si="5"/>
        <v>2.1583213077786646E-5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27">
        <f t="shared" si="5"/>
        <v>1.295242699900118E-2</v>
      </c>
      <c r="N44" s="227">
        <f t="shared" si="5"/>
        <v>1.0665611728526697E-2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27">
        <f t="shared" si="5"/>
        <v>3.7807289121082659E-2</v>
      </c>
      <c r="N45" s="227">
        <f t="shared" si="5"/>
        <v>3.521203682228035E-2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27">
        <f t="shared" si="5"/>
        <v>1.3987667343709216E-2</v>
      </c>
      <c r="N46" s="227">
        <f t="shared" si="5"/>
        <v>1.3500207398970222E-2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27">
        <f>N34/N$34</f>
        <v>1</v>
      </c>
      <c r="N47" s="227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5">
      <c r="B49" s="23" t="s">
        <v>100</v>
      </c>
      <c r="D49" s="26"/>
      <c r="E49" s="26"/>
      <c r="F49" s="26"/>
      <c r="G49" s="26"/>
      <c r="H49" s="26"/>
      <c r="I49" s="26"/>
      <c r="M49" s="228">
        <f>SUM(M39:M46)</f>
        <v>1</v>
      </c>
      <c r="N49" s="228">
        <f>SUM(N39:N46)</f>
        <v>1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122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5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82" t="s">
        <v>91</v>
      </c>
      <c r="D53" s="384" t="s">
        <v>126</v>
      </c>
      <c r="E53" s="384"/>
      <c r="F53" s="385" t="s">
        <v>74</v>
      </c>
      <c r="G53" s="387" t="s">
        <v>127</v>
      </c>
      <c r="H53" s="388"/>
      <c r="I53" s="385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83"/>
      <c r="D54" s="94">
        <v>2021</v>
      </c>
      <c r="E54" s="95">
        <v>2022</v>
      </c>
      <c r="F54" s="386"/>
      <c r="G54" s="236">
        <v>2021</v>
      </c>
      <c r="H54" s="95">
        <v>2022</v>
      </c>
      <c r="I54" s="386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84" t="s">
        <v>42</v>
      </c>
      <c r="D55" s="285">
        <f>SUM(D28:D30,D34)</f>
        <v>4518.9885569801363</v>
      </c>
      <c r="E55" s="286">
        <f>SUM(E28:E30,E34)</f>
        <v>4698.1048925126997</v>
      </c>
      <c r="F55" s="287">
        <f>+E55/D55-1</f>
        <v>3.9636377316312643E-2</v>
      </c>
      <c r="G55" s="288">
        <f>SUM(G28:G30,G34)</f>
        <v>35892.152413841104</v>
      </c>
      <c r="H55" s="286">
        <f>SUM(H28:H30,H34)</f>
        <v>37075.89790154076</v>
      </c>
      <c r="I55" s="287">
        <f>+H55/G55-1</f>
        <v>3.2980621336132776E-2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75" thickBot="1">
      <c r="C56" s="289" t="s">
        <v>104</v>
      </c>
      <c r="D56" s="349">
        <f>SUM(D31:D33)</f>
        <v>312.84882799999997</v>
      </c>
      <c r="E56" s="290">
        <f>SUM(E31:E33)</f>
        <v>296.57328110879365</v>
      </c>
      <c r="F56" s="352">
        <f>+E56/D56-1</f>
        <v>-5.202367864138624E-2</v>
      </c>
      <c r="G56" s="351">
        <f>SUM(G31:G33)</f>
        <v>2071.8040550000001</v>
      </c>
      <c r="H56" s="346">
        <f>SUM(H31:H33)</f>
        <v>2110.3199354887943</v>
      </c>
      <c r="I56" s="350">
        <f>+H56/G56-1</f>
        <v>1.8590503477315723E-2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1" t="s">
        <v>71</v>
      </c>
      <c r="D57" s="99">
        <f>SUM(D55:D56)</f>
        <v>4831.8373849801364</v>
      </c>
      <c r="E57" s="100">
        <f>SUM(E55:E56)</f>
        <v>4994.6781736214934</v>
      </c>
      <c r="F57" s="101">
        <f>+E57/D57-1</f>
        <v>3.3701628524906768E-2</v>
      </c>
      <c r="G57" s="251">
        <f>SUM(G55:G56)</f>
        <v>37963.956468841105</v>
      </c>
      <c r="H57" s="100">
        <f>SUM(H55:H56)</f>
        <v>39186.217837029551</v>
      </c>
      <c r="I57" s="101">
        <f>+H57/G57-1</f>
        <v>3.2195310549141931E-2</v>
      </c>
      <c r="N57" s="74"/>
      <c r="O57" s="74"/>
      <c r="P57" s="74"/>
      <c r="Q57" s="74"/>
      <c r="R57" s="74"/>
      <c r="S57" s="74"/>
      <c r="T57" s="74"/>
      <c r="U57" s="74"/>
    </row>
    <row r="58" spans="2:28" ht="13.5" thickBot="1">
      <c r="C58" s="124" t="s">
        <v>8</v>
      </c>
      <c r="D58" s="102">
        <f>+D56/D57</f>
        <v>6.4747383463793051E-2</v>
      </c>
      <c r="E58" s="103">
        <f>+E56/E57</f>
        <v>5.9377855949777271E-2</v>
      </c>
      <c r="F58" s="104"/>
      <c r="G58" s="252">
        <f>+G56/G57</f>
        <v>5.4572922521930294E-2</v>
      </c>
      <c r="H58" s="103">
        <f>+H56/H57</f>
        <v>5.3853626401643144E-2</v>
      </c>
      <c r="I58" s="104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60" t="s">
        <v>105</v>
      </c>
      <c r="D59" s="122"/>
      <c r="E59" s="122"/>
      <c r="F59" s="123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5.5">
      <c r="L63" s="85" t="s">
        <v>57</v>
      </c>
      <c r="M63" s="76">
        <f>D55</f>
        <v>4518.9885569801363</v>
      </c>
      <c r="N63" s="76">
        <f>E55</f>
        <v>4698.1048925126997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8.25">
      <c r="B64" s="19"/>
      <c r="J64" s="20"/>
      <c r="K64" s="75"/>
      <c r="L64" s="85" t="s">
        <v>58</v>
      </c>
      <c r="M64" s="76">
        <f>D56</f>
        <v>312.84882799999997</v>
      </c>
      <c r="N64" s="76">
        <f>E56</f>
        <v>296.57328110879365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60" t="s">
        <v>105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5">
      <c r="B72" s="23" t="s">
        <v>115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5">
      <c r="B74" s="23"/>
      <c r="C74" s="10" t="s">
        <v>123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57"/>
      <c r="L75" s="57"/>
      <c r="M75" s="55"/>
      <c r="N75" s="55">
        <v>2021</v>
      </c>
      <c r="O75" s="55">
        <v>2022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12"/>
      <c r="D76" s="384" t="s">
        <v>126</v>
      </c>
      <c r="E76" s="384"/>
      <c r="F76" s="105" t="s">
        <v>74</v>
      </c>
      <c r="G76" s="387" t="s">
        <v>127</v>
      </c>
      <c r="H76" s="388"/>
      <c r="I76" s="225" t="s">
        <v>74</v>
      </c>
      <c r="J76" s="19"/>
      <c r="K76" s="57"/>
      <c r="L76" s="57"/>
      <c r="M76" s="55" t="s">
        <v>96</v>
      </c>
      <c r="N76" s="70">
        <f>D78</f>
        <v>2.0007376249999997</v>
      </c>
      <c r="O76" s="70">
        <f>E78</f>
        <v>8.0325959774999998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347" t="s">
        <v>95</v>
      </c>
      <c r="D77" s="348">
        <v>2021</v>
      </c>
      <c r="E77" s="95">
        <v>2022</v>
      </c>
      <c r="F77" s="106"/>
      <c r="G77" s="340">
        <v>2021</v>
      </c>
      <c r="H77" s="95">
        <v>2022</v>
      </c>
      <c r="I77" s="226"/>
      <c r="J77" s="19"/>
      <c r="K77" s="57"/>
      <c r="L77" s="57"/>
      <c r="M77" s="55" t="s">
        <v>97</v>
      </c>
      <c r="N77" s="70">
        <f>D79</f>
        <v>4686.2997493749999</v>
      </c>
      <c r="O77" s="70">
        <f>E79</f>
        <v>4840.826447832932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13" t="s">
        <v>96</v>
      </c>
      <c r="D78" s="154">
        <v>2.0007376249999997</v>
      </c>
      <c r="E78" s="345">
        <v>8.0325959774999998</v>
      </c>
      <c r="F78" s="156">
        <f>((E78/D78)-1)</f>
        <v>3.0148172739541499</v>
      </c>
      <c r="G78" s="233">
        <v>24.039855802499996</v>
      </c>
      <c r="H78" s="345">
        <v>267.66177220750001</v>
      </c>
      <c r="I78" s="156">
        <f>((H78/G78)-1)</f>
        <v>10.1340839315544</v>
      </c>
      <c r="J78" s="19"/>
      <c r="K78" s="255"/>
      <c r="L78" s="57"/>
    </row>
    <row r="79" spans="2:28" ht="16.5" customHeight="1" thickBot="1">
      <c r="C79" s="291" t="s">
        <v>97</v>
      </c>
      <c r="D79" s="158">
        <f>'Resumen (G)'!E40-D78</f>
        <v>4686.2997493749999</v>
      </c>
      <c r="E79" s="323">
        <f>'Resumen (G)'!F40-E78</f>
        <v>4840.826447832932</v>
      </c>
      <c r="F79" s="160">
        <f>((E79/D79)-1)</f>
        <v>3.2974138813579135E-2</v>
      </c>
      <c r="G79" s="234">
        <f>'Resumen (G)'!H40-G78</f>
        <v>36705.388512197496</v>
      </c>
      <c r="H79" s="323">
        <f>'Resumen (G)'!I40-H78</f>
        <v>37649.422616770469</v>
      </c>
      <c r="I79" s="160">
        <f>((H79/G79)-1)</f>
        <v>2.5719223875242836E-2</v>
      </c>
      <c r="J79" s="19"/>
      <c r="K79" s="57"/>
      <c r="L79" s="57"/>
      <c r="M79" s="70"/>
      <c r="N79" s="70"/>
      <c r="O79" s="70"/>
    </row>
    <row r="80" spans="2:28" ht="14.25" thickTop="1" thickBot="1">
      <c r="C80" s="125" t="s">
        <v>94</v>
      </c>
      <c r="D80" s="229">
        <f>SUM(D78:D79)</f>
        <v>4688.3004869999995</v>
      </c>
      <c r="E80" s="324">
        <f>SUM(E78:E79)</f>
        <v>4848.859043810432</v>
      </c>
      <c r="F80" s="126"/>
      <c r="G80" s="253">
        <f>SUM(G78:G79)</f>
        <v>36729.428367999993</v>
      </c>
      <c r="H80" s="324">
        <f>SUM(H78:H79)</f>
        <v>37917.084388977972</v>
      </c>
      <c r="I80" s="126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G26:H26"/>
    <mergeCell ref="I26:I27"/>
    <mergeCell ref="G53:H53"/>
    <mergeCell ref="I53:I54"/>
    <mergeCell ref="G76:H76"/>
    <mergeCell ref="C53:C54"/>
    <mergeCell ref="D76:E76"/>
    <mergeCell ref="D26:E26"/>
    <mergeCell ref="F26:F27"/>
    <mergeCell ref="D53:E53"/>
    <mergeCell ref="F53:F54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5"/>
  <sheetViews>
    <sheetView view="pageBreakPreview" zoomScale="90" zoomScaleNormal="100" zoomScaleSheetLayoutView="90" workbookViewId="0">
      <selection activeCell="C54" sqref="C54:H60"/>
    </sheetView>
  </sheetViews>
  <sheetFormatPr baseColWidth="10" defaultColWidth="11.42578125" defaultRowHeight="12.75"/>
  <cols>
    <col min="1" max="1" width="5.42578125" customWidth="1"/>
    <col min="2" max="2" width="3.85546875" style="19" customWidth="1"/>
    <col min="3" max="3" width="27.85546875" style="20" customWidth="1"/>
    <col min="4" max="5" width="11.7109375" style="20" customWidth="1"/>
    <col min="6" max="6" width="9.7109375" style="20" customWidth="1"/>
    <col min="7" max="7" width="13" style="20" customWidth="1"/>
    <col min="8" max="8" width="13.140625" style="20" customWidth="1"/>
    <col min="9" max="9" width="9.5703125" style="20" customWidth="1"/>
    <col min="10" max="10" width="3.7109375" style="20" customWidth="1"/>
    <col min="11" max="11" width="9" customWidth="1"/>
    <col min="13" max="13" width="19.140625" customWidth="1"/>
    <col min="14" max="14" width="8.28515625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3" ht="15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5">
      <c r="C3" s="22"/>
      <c r="D3" s="3"/>
      <c r="E3" s="22"/>
      <c r="F3" s="22"/>
      <c r="G3" s="22"/>
      <c r="H3" s="22"/>
      <c r="I3" s="22"/>
      <c r="J3" s="22"/>
    </row>
    <row r="4" spans="2:13" ht="15">
      <c r="C4" s="23" t="s">
        <v>124</v>
      </c>
      <c r="D4" s="3"/>
      <c r="E4" s="23"/>
      <c r="F4" s="23"/>
      <c r="G4" s="23"/>
      <c r="H4" s="23"/>
      <c r="I4" s="23"/>
      <c r="J4" s="23"/>
    </row>
    <row r="6" spans="2:13">
      <c r="C6" s="10" t="s">
        <v>130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5" t="s">
        <v>44</v>
      </c>
      <c r="D8" s="396" t="s">
        <v>126</v>
      </c>
      <c r="E8" s="397"/>
      <c r="F8" s="385" t="s">
        <v>74</v>
      </c>
      <c r="G8" s="387" t="s">
        <v>127</v>
      </c>
      <c r="H8" s="388"/>
      <c r="I8" s="385" t="s">
        <v>74</v>
      </c>
      <c r="J8" s="26"/>
    </row>
    <row r="9" spans="2:13" s="1" customFormat="1" ht="13.5" customHeight="1">
      <c r="B9" s="19"/>
      <c r="C9" s="206"/>
      <c r="D9" s="109">
        <v>2021</v>
      </c>
      <c r="E9" s="95">
        <v>2022</v>
      </c>
      <c r="F9" s="386"/>
      <c r="G9" s="340">
        <v>2021</v>
      </c>
      <c r="H9" s="95">
        <v>2022</v>
      </c>
      <c r="I9" s="386"/>
      <c r="J9" s="26"/>
    </row>
    <row r="10" spans="2:13">
      <c r="C10" s="193" t="s">
        <v>10</v>
      </c>
      <c r="D10" s="194">
        <f>'Por Región (G)'!O8</f>
        <v>288.91768500000001</v>
      </c>
      <c r="E10" s="195">
        <f>'Por Región (G)'!P8</f>
        <v>353.47081001591249</v>
      </c>
      <c r="F10" s="196">
        <f>+E10/D10-1</f>
        <v>0.22343085372538707</v>
      </c>
      <c r="G10" s="335">
        <f>'Por Región (G)'!Q8</f>
        <v>2510.5444870000001</v>
      </c>
      <c r="H10" s="195">
        <f>'Por Región (G)'!R8</f>
        <v>2685.7561435875141</v>
      </c>
      <c r="I10" s="196">
        <f>+H10/G10-1</f>
        <v>6.9790301464398574E-2</v>
      </c>
      <c r="J10" s="26"/>
      <c r="L10" s="142" t="s">
        <v>9</v>
      </c>
      <c r="M10" s="230">
        <f>E11</f>
        <v>4129.0628412108044</v>
      </c>
    </row>
    <row r="11" spans="2:13">
      <c r="C11" s="197" t="s">
        <v>9</v>
      </c>
      <c r="D11" s="198">
        <f>'Por Región (G)'!O9</f>
        <v>3952.4234750000019</v>
      </c>
      <c r="E11" s="199">
        <f>'Por Región (G)'!P9</f>
        <v>4129.0628412108044</v>
      </c>
      <c r="F11" s="200">
        <f>+E11/D11-1</f>
        <v>4.4691407013465856E-2</v>
      </c>
      <c r="G11" s="336">
        <f>'Por Región (G)'!Q9</f>
        <v>30427.677874000001</v>
      </c>
      <c r="H11" s="199">
        <f>'Por Región (G)'!R9</f>
        <v>31567.408672868194</v>
      </c>
      <c r="I11" s="200">
        <f>+H11/G11-1</f>
        <v>3.7457041696963511E-2</v>
      </c>
      <c r="J11" s="26"/>
      <c r="L11" s="142" t="s">
        <v>12</v>
      </c>
      <c r="M11" s="230">
        <f>E12</f>
        <v>477.95702006144109</v>
      </c>
    </row>
    <row r="12" spans="2:13">
      <c r="C12" s="197" t="s">
        <v>12</v>
      </c>
      <c r="D12" s="198">
        <f>'Por Región (G)'!O10</f>
        <v>555.08106599999996</v>
      </c>
      <c r="E12" s="199">
        <f>'Por Región (G)'!P10</f>
        <v>477.95702006144109</v>
      </c>
      <c r="F12" s="200">
        <f>+E12/D12-1</f>
        <v>-0.13894195039713153</v>
      </c>
      <c r="G12" s="336">
        <f>'Por Región (G)'!Q10</f>
        <v>4757.7513020000006</v>
      </c>
      <c r="H12" s="199">
        <f>'Por Región (G)'!R10</f>
        <v>4658.7192343795414</v>
      </c>
      <c r="I12" s="200">
        <f>+H12/G12-1</f>
        <v>-2.0814889500178291E-2</v>
      </c>
      <c r="J12" s="26"/>
      <c r="L12" s="142" t="s">
        <v>10</v>
      </c>
      <c r="M12" s="230">
        <f>E10</f>
        <v>353.47081001591249</v>
      </c>
    </row>
    <row r="13" spans="2:13">
      <c r="C13" s="201" t="s">
        <v>11</v>
      </c>
      <c r="D13" s="202">
        <f>'Por Región (G)'!O11</f>
        <v>35.415158000000005</v>
      </c>
      <c r="E13" s="203">
        <f>'Por Región (G)'!P11</f>
        <v>34.187502333333335</v>
      </c>
      <c r="F13" s="204">
        <f>+E13/D13-1</f>
        <v>-3.4664695457992001E-2</v>
      </c>
      <c r="G13" s="337">
        <f>'Por Región (G)'!Q11</f>
        <v>267.982798</v>
      </c>
      <c r="H13" s="203">
        <f>'Por Región (G)'!R11</f>
        <v>274.33377933333338</v>
      </c>
      <c r="I13" s="204">
        <f>+H13/G13-1</f>
        <v>2.3699212713397255E-2</v>
      </c>
      <c r="J13" s="26"/>
      <c r="L13" s="142" t="s">
        <v>11</v>
      </c>
      <c r="M13" s="230">
        <f>E13</f>
        <v>34.187502333333335</v>
      </c>
    </row>
    <row r="14" spans="2:13" ht="13.5" thickBot="1">
      <c r="C14" s="207" t="s">
        <v>108</v>
      </c>
      <c r="D14" s="208">
        <f>SUM(D10:D13)</f>
        <v>4831.8373840000013</v>
      </c>
      <c r="E14" s="209">
        <f>SUM(E10:E13)</f>
        <v>4994.6781736214907</v>
      </c>
      <c r="F14" s="210">
        <f>+E14/D14-1</f>
        <v>3.3701628734591926E-2</v>
      </c>
      <c r="G14" s="338">
        <f>SUM(G10:G13)</f>
        <v>37963.956460999994</v>
      </c>
      <c r="H14" s="209">
        <f>SUM(H10:H13)</f>
        <v>39186.217830168585</v>
      </c>
      <c r="I14" s="210">
        <f>+H14/G14-1</f>
        <v>3.2195310581609293E-2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5">
      <c r="C16" s="23" t="s">
        <v>131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93" t="s">
        <v>93</v>
      </c>
      <c r="D18" s="393"/>
      <c r="E18" s="393"/>
      <c r="F18" s="393"/>
      <c r="G18" s="394" t="s">
        <v>107</v>
      </c>
      <c r="H18" s="395"/>
      <c r="I18" s="395"/>
      <c r="J18" s="395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5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30" t="s">
        <v>12</v>
      </c>
      <c r="R44" s="30" t="s">
        <v>38</v>
      </c>
    </row>
    <row r="45" spans="3:26" ht="13.5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5">
      <c r="C49" s="25"/>
      <c r="D49" s="19"/>
      <c r="E49" s="19"/>
      <c r="F49" s="19"/>
      <c r="G49" s="19"/>
      <c r="H49" s="19"/>
      <c r="I49" s="19"/>
      <c r="J49" s="19"/>
    </row>
    <row r="50" spans="3:15">
      <c r="C50" s="25"/>
      <c r="D50" s="19"/>
      <c r="E50" s="19"/>
      <c r="F50" s="19"/>
      <c r="G50" s="19"/>
      <c r="H50" s="19"/>
      <c r="I50" s="19"/>
      <c r="J50" s="19"/>
    </row>
    <row r="51" spans="3:15">
      <c r="C51" s="25"/>
      <c r="D51" s="19"/>
      <c r="E51" s="19"/>
      <c r="F51" s="19"/>
      <c r="G51" s="19"/>
      <c r="H51" s="19"/>
      <c r="I51" s="19"/>
      <c r="J51" s="19"/>
    </row>
    <row r="52" spans="3:15">
      <c r="C52" s="25"/>
      <c r="D52" s="19"/>
      <c r="E52" s="19"/>
      <c r="F52" s="19"/>
      <c r="G52" s="19"/>
      <c r="H52" s="19"/>
      <c r="I52" s="37"/>
      <c r="J52" s="19"/>
    </row>
    <row r="53" spans="3:15" ht="13.5" thickBot="1">
      <c r="C53" s="211" t="s">
        <v>98</v>
      </c>
      <c r="D53" s="87"/>
      <c r="E53" s="87"/>
      <c r="F53" s="87"/>
      <c r="G53" s="87"/>
      <c r="H53" s="87"/>
      <c r="I53" s="37"/>
      <c r="J53" s="19"/>
    </row>
    <row r="54" spans="3:15">
      <c r="C54" s="389" t="s">
        <v>13</v>
      </c>
      <c r="D54" s="391" t="s">
        <v>132</v>
      </c>
      <c r="E54" s="392"/>
      <c r="F54" s="392"/>
      <c r="G54" s="392"/>
      <c r="H54" s="392"/>
      <c r="I54" s="19"/>
      <c r="J54" s="19"/>
    </row>
    <row r="55" spans="3:15">
      <c r="C55" s="390"/>
      <c r="D55" s="112" t="s">
        <v>14</v>
      </c>
      <c r="E55" s="113" t="s">
        <v>15</v>
      </c>
      <c r="F55" s="113" t="s">
        <v>5</v>
      </c>
      <c r="G55" s="113" t="s">
        <v>16</v>
      </c>
      <c r="H55" s="113" t="s">
        <v>71</v>
      </c>
      <c r="I55" s="19"/>
      <c r="J55" s="19"/>
    </row>
    <row r="56" spans="3:15">
      <c r="C56" s="212" t="s">
        <v>10</v>
      </c>
      <c r="D56" s="331">
        <f>'Resumen (G)'!F14-'PorZona (G)'!D58</f>
        <v>103.46440778999995</v>
      </c>
      <c r="E56" s="216">
        <v>110.27411827367807</v>
      </c>
      <c r="F56" s="216">
        <v>0</v>
      </c>
      <c r="G56" s="216">
        <v>139.73228395223447</v>
      </c>
      <c r="H56" s="216">
        <f>SUM(D56:G56)</f>
        <v>353.47081001591249</v>
      </c>
      <c r="I56" s="326"/>
      <c r="K56" s="303"/>
      <c r="L56" s="316"/>
      <c r="M56" s="316"/>
      <c r="N56" s="316"/>
      <c r="O56" s="316"/>
    </row>
    <row r="57" spans="3:15">
      <c r="C57" s="213" t="s">
        <v>9</v>
      </c>
      <c r="D57" s="332">
        <v>0</v>
      </c>
      <c r="E57" s="217">
        <v>1670.4486805160848</v>
      </c>
      <c r="F57" s="333">
        <v>6.4619999999999999E-3</v>
      </c>
      <c r="G57" s="217">
        <v>2458.6076986947196</v>
      </c>
      <c r="H57" s="217">
        <f>SUM(D57:G57)</f>
        <v>4129.0628412108044</v>
      </c>
      <c r="I57" s="326"/>
      <c r="K57" s="303"/>
      <c r="L57" s="316"/>
      <c r="M57" s="316"/>
      <c r="N57" s="316"/>
      <c r="O57" s="316"/>
    </row>
    <row r="58" spans="3:15">
      <c r="C58" s="213" t="s">
        <v>12</v>
      </c>
      <c r="D58" s="332">
        <v>72.408383975000035</v>
      </c>
      <c r="E58" s="217">
        <v>261.39050257464407</v>
      </c>
      <c r="F58" s="217">
        <f>'Resumen (G)'!D15</f>
        <v>67.429191234999962</v>
      </c>
      <c r="G58" s="217">
        <v>76.728942276797</v>
      </c>
      <c r="H58" s="217">
        <f>SUM(D58:G58)</f>
        <v>477.95702006144109</v>
      </c>
      <c r="I58" s="326"/>
      <c r="K58" s="303"/>
      <c r="L58" s="316"/>
      <c r="M58" s="316"/>
      <c r="N58" s="316"/>
      <c r="O58" s="316"/>
    </row>
    <row r="59" spans="3:15">
      <c r="C59" s="214" t="s">
        <v>11</v>
      </c>
      <c r="D59" s="334">
        <v>0</v>
      </c>
      <c r="E59" s="218">
        <v>0</v>
      </c>
      <c r="F59" s="218">
        <v>0</v>
      </c>
      <c r="G59" s="218">
        <f>E13</f>
        <v>34.187502333333335</v>
      </c>
      <c r="H59" s="218">
        <f>SUM(D59:G59)</f>
        <v>34.187502333333335</v>
      </c>
      <c r="I59" s="326"/>
      <c r="K59" s="19"/>
      <c r="L59" s="316"/>
      <c r="M59" s="316"/>
    </row>
    <row r="60" spans="3:15" ht="13.5" thickBot="1">
      <c r="C60" s="114" t="s">
        <v>108</v>
      </c>
      <c r="D60" s="219">
        <f>SUM(D56:D59)</f>
        <v>175.87279176499999</v>
      </c>
      <c r="E60" s="220">
        <f>SUM(E56:E59)</f>
        <v>2042.1133013644071</v>
      </c>
      <c r="F60" s="220">
        <f>SUM(F56:F59)</f>
        <v>67.435653234999961</v>
      </c>
      <c r="G60" s="220">
        <f>SUM(G56:G59)</f>
        <v>2709.2564272570844</v>
      </c>
      <c r="H60" s="220">
        <f>SUM(H56:H59)</f>
        <v>4994.6781736214907</v>
      </c>
      <c r="I60" s="19"/>
      <c r="J60" s="19"/>
    </row>
    <row r="61" spans="3:15" ht="6.75" customHeight="1">
      <c r="C61" s="19"/>
      <c r="D61" s="19"/>
      <c r="E61" s="19"/>
      <c r="F61" s="19"/>
      <c r="G61" s="19"/>
      <c r="H61" s="19"/>
      <c r="I61" s="19"/>
      <c r="J61" s="19"/>
    </row>
    <row r="62" spans="3:15">
      <c r="C62" s="19"/>
      <c r="D62" s="19"/>
      <c r="E62" s="19"/>
      <c r="F62" s="19"/>
      <c r="G62" s="19"/>
      <c r="H62" s="19"/>
      <c r="I62" s="19"/>
      <c r="J62" s="19"/>
    </row>
    <row r="63" spans="3:15">
      <c r="C63" s="19"/>
      <c r="D63" s="19"/>
      <c r="E63" s="19"/>
      <c r="F63" s="19"/>
      <c r="G63" s="19"/>
      <c r="H63" s="19"/>
      <c r="I63" s="19"/>
      <c r="J63" s="19"/>
    </row>
    <row r="64" spans="3:15">
      <c r="E64" s="329"/>
      <c r="H64" s="121"/>
    </row>
    <row r="65" spans="5:5">
      <c r="E65" s="121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view="pageBreakPreview" topLeftCell="A2" zoomScale="130" zoomScaleNormal="100" zoomScaleSheetLayoutView="130" workbookViewId="0">
      <selection activeCell="C3" sqref="C3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5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5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5" thickBot="1">
      <c r="C5"/>
      <c r="D5"/>
      <c r="E5"/>
      <c r="F5"/>
      <c r="G5"/>
    </row>
    <row r="6" spans="3:19" ht="12.75" customHeight="1">
      <c r="C6" s="107" t="s">
        <v>60</v>
      </c>
      <c r="D6" s="396" t="s">
        <v>126</v>
      </c>
      <c r="E6" s="397"/>
      <c r="F6" s="385" t="s">
        <v>74</v>
      </c>
      <c r="G6" s="387" t="s">
        <v>127</v>
      </c>
      <c r="H6" s="388"/>
      <c r="I6" s="385" t="s">
        <v>74</v>
      </c>
      <c r="O6" s="47"/>
      <c r="P6" s="86"/>
      <c r="Q6" s="398" t="s">
        <v>116</v>
      </c>
      <c r="R6" s="398"/>
    </row>
    <row r="7" spans="3:19" ht="12.75" customHeight="1">
      <c r="C7" s="108"/>
      <c r="D7" s="109">
        <v>2021</v>
      </c>
      <c r="E7" s="95">
        <v>2022</v>
      </c>
      <c r="F7" s="386"/>
      <c r="G7" s="236">
        <v>2021</v>
      </c>
      <c r="H7" s="95">
        <v>2022</v>
      </c>
      <c r="I7" s="386"/>
      <c r="N7" s="54"/>
      <c r="O7" s="313">
        <v>2021</v>
      </c>
      <c r="P7" s="315">
        <v>2022</v>
      </c>
      <c r="Q7" s="54">
        <v>2020</v>
      </c>
      <c r="R7" s="54">
        <v>2021</v>
      </c>
    </row>
    <row r="8" spans="3:19" ht="20.100000000000001" customHeight="1">
      <c r="C8" s="116" t="s">
        <v>17</v>
      </c>
      <c r="D8" s="357">
        <v>4.0546950000000006</v>
      </c>
      <c r="E8" s="344">
        <v>4.5502275000000001</v>
      </c>
      <c r="F8" s="222">
        <f>+E8/D8-1</f>
        <v>0.122212028278329</v>
      </c>
      <c r="G8" s="353">
        <v>30.721754000000001</v>
      </c>
      <c r="H8" s="344">
        <v>31.884054499999998</v>
      </c>
      <c r="I8" s="222">
        <f>+H8/G8-1</f>
        <v>3.7833142599865699E-2</v>
      </c>
      <c r="J8" s="26"/>
      <c r="K8" s="46"/>
      <c r="L8" s="46"/>
      <c r="N8" s="57" t="s">
        <v>10</v>
      </c>
      <c r="O8" s="71">
        <f>SUM(D8,D13,D20,D21,D27,D29,D31)</f>
        <v>288.91768500000001</v>
      </c>
      <c r="P8" s="71">
        <f>SUM(E8,E13,E20,E21,E27,E29,E31)</f>
        <v>353.47081001591249</v>
      </c>
      <c r="Q8" s="71">
        <f>SUM(G8,G13,G20,G21,G27,G29,G31)</f>
        <v>2510.5444870000001</v>
      </c>
      <c r="R8" s="71">
        <f>SUM(H8,H13,H20,H21,H27,H29,H31)</f>
        <v>2685.7561435875141</v>
      </c>
    </row>
    <row r="9" spans="3:19" ht="20.100000000000001" customHeight="1">
      <c r="C9" s="117" t="s">
        <v>18</v>
      </c>
      <c r="D9" s="221">
        <v>101.69469599999998</v>
      </c>
      <c r="E9" s="281">
        <v>94.109587195939667</v>
      </c>
      <c r="F9" s="223">
        <f t="shared" ref="F9:F32" si="0">+E9/D9-1</f>
        <v>-7.4587064049636553E-2</v>
      </c>
      <c r="G9" s="237">
        <v>1596.5571049999996</v>
      </c>
      <c r="H9" s="281">
        <v>1529.3221333300166</v>
      </c>
      <c r="I9" s="292">
        <f t="shared" ref="I9:I32" si="1">+H9/G9-1</f>
        <v>-4.2112475312922171E-2</v>
      </c>
      <c r="J9" s="26"/>
      <c r="K9" s="46"/>
      <c r="L9" s="46"/>
      <c r="N9" s="57" t="s">
        <v>9</v>
      </c>
      <c r="O9" s="313">
        <f>SUM(D9,D14,D16,D17,D19,D22,D26,D32)</f>
        <v>3952.4234750000019</v>
      </c>
      <c r="P9" s="313">
        <f>SUM(E9,E14,E16,E17,E19,E22,E26,E32)</f>
        <v>4129.0628412108044</v>
      </c>
      <c r="Q9" s="313">
        <f>SUM(G9,G14,G16,G17,G19,G22,G26,G32)</f>
        <v>30427.677874000001</v>
      </c>
      <c r="R9" s="313">
        <f>SUM(H9,H14,H16,H17,H19,H22,H26,H32)</f>
        <v>31567.408672868194</v>
      </c>
    </row>
    <row r="10" spans="3:19" ht="20.100000000000001" customHeight="1">
      <c r="C10" s="118" t="s">
        <v>19</v>
      </c>
      <c r="D10" s="221">
        <v>3.0149659999999998</v>
      </c>
      <c r="E10" s="281">
        <v>3.8191466666666671</v>
      </c>
      <c r="F10" s="223">
        <f t="shared" si="0"/>
        <v>0.26672959717179801</v>
      </c>
      <c r="G10" s="237">
        <v>32.098903</v>
      </c>
      <c r="H10" s="281">
        <v>33.702762666666672</v>
      </c>
      <c r="I10" s="223">
        <f t="shared" si="1"/>
        <v>4.9966183164162015E-2</v>
      </c>
      <c r="J10" s="26"/>
      <c r="K10" s="46"/>
      <c r="L10" s="46"/>
      <c r="N10" s="54" t="s">
        <v>12</v>
      </c>
      <c r="O10" s="313">
        <f>SUM(D10,D11,D12,D15,D18,D24,D25,D28,D30)</f>
        <v>555.08106599999996</v>
      </c>
      <c r="P10" s="313">
        <f>SUM(E10,E11,E12,E15,E18,E24,E25,E28,E30)</f>
        <v>477.95702006144109</v>
      </c>
      <c r="Q10" s="313">
        <f>SUM(G10,G11,G12,G15,G18,G24,G25,G28,G30)</f>
        <v>4757.7513020000006</v>
      </c>
      <c r="R10" s="313">
        <f>SUM(H10,H11,H12,H15,H18,H24,H25,H28,H30)</f>
        <v>4658.7192343795414</v>
      </c>
    </row>
    <row r="11" spans="3:19" ht="20.100000000000001" customHeight="1">
      <c r="C11" s="117" t="s">
        <v>20</v>
      </c>
      <c r="D11" s="221">
        <v>102.428337</v>
      </c>
      <c r="E11" s="281">
        <v>102.98284690388491</v>
      </c>
      <c r="F11" s="292">
        <f t="shared" si="0"/>
        <v>5.4136376722089263E-3</v>
      </c>
      <c r="G11" s="237">
        <v>819.51297299999999</v>
      </c>
      <c r="H11" s="281">
        <v>761.08496857107957</v>
      </c>
      <c r="I11" s="223">
        <f t="shared" si="1"/>
        <v>-7.1296009158991591E-2</v>
      </c>
      <c r="J11" s="26"/>
      <c r="K11" s="46"/>
      <c r="L11" s="46"/>
      <c r="N11" s="314" t="s">
        <v>11</v>
      </c>
      <c r="O11" s="71">
        <f>D23</f>
        <v>35.415158000000005</v>
      </c>
      <c r="P11" s="71">
        <f>E23</f>
        <v>34.187502333333335</v>
      </c>
      <c r="Q11" s="71">
        <f>G23</f>
        <v>267.982798</v>
      </c>
      <c r="R11" s="71">
        <f>H23</f>
        <v>274.33377933333338</v>
      </c>
    </row>
    <row r="12" spans="3:19" ht="20.100000000000001" customHeight="1">
      <c r="C12" s="117" t="s">
        <v>21</v>
      </c>
      <c r="D12" s="342">
        <v>0.51987499999999998</v>
      </c>
      <c r="E12" s="308">
        <v>0.83849899999999999</v>
      </c>
      <c r="F12" s="223">
        <f t="shared" si="0"/>
        <v>0.6128857898533302</v>
      </c>
      <c r="G12" s="237">
        <v>6.5316380000000009</v>
      </c>
      <c r="H12" s="281">
        <v>7.0323120000000001</v>
      </c>
      <c r="I12" s="223">
        <f t="shared" si="1"/>
        <v>7.6653666354442596E-2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7" t="s">
        <v>22</v>
      </c>
      <c r="D13" s="221">
        <v>78.184659000000011</v>
      </c>
      <c r="E13" s="281">
        <v>83.981908297095131</v>
      </c>
      <c r="F13" s="223">
        <f t="shared" si="0"/>
        <v>7.4148168851067231E-2</v>
      </c>
      <c r="G13" s="237">
        <v>980.402647</v>
      </c>
      <c r="H13" s="281">
        <v>1017.2556174101517</v>
      </c>
      <c r="I13" s="223">
        <f t="shared" si="1"/>
        <v>3.7589627611594567E-2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7" t="s">
        <v>59</v>
      </c>
      <c r="D14" s="221">
        <v>362.89217500000001</v>
      </c>
      <c r="E14" s="281">
        <v>333.06769127250004</v>
      </c>
      <c r="F14" s="223">
        <f t="shared" si="0"/>
        <v>-8.2185524467426108E-2</v>
      </c>
      <c r="G14" s="237">
        <v>1905.767775</v>
      </c>
      <c r="H14" s="281">
        <v>2135.7610270900004</v>
      </c>
      <c r="I14" s="223">
        <f t="shared" si="1"/>
        <v>0.12068272698650295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7" t="s">
        <v>23</v>
      </c>
      <c r="D15" s="221">
        <v>141.62778800000001</v>
      </c>
      <c r="E15" s="281">
        <v>121.22183929045291</v>
      </c>
      <c r="F15" s="223">
        <f t="shared" si="0"/>
        <v>-0.14408153228762632</v>
      </c>
      <c r="G15" s="237">
        <v>1426.5421429999999</v>
      </c>
      <c r="H15" s="281">
        <v>1388.4449840913587</v>
      </c>
      <c r="I15" s="292">
        <f t="shared" si="1"/>
        <v>-2.6705947031135935E-2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7" t="s">
        <v>24</v>
      </c>
      <c r="D16" s="221">
        <v>767.06683199999998</v>
      </c>
      <c r="E16" s="281">
        <v>760.3538040253278</v>
      </c>
      <c r="F16" s="223">
        <f t="shared" si="0"/>
        <v>-8.7515555289610081E-3</v>
      </c>
      <c r="G16" s="237">
        <v>7071.916608999999</v>
      </c>
      <c r="H16" s="281">
        <v>6906.720863251312</v>
      </c>
      <c r="I16" s="292">
        <f t="shared" si="1"/>
        <v>-2.3359402391489259E-2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7" t="s">
        <v>25</v>
      </c>
      <c r="D17" s="221">
        <v>61.589908999999999</v>
      </c>
      <c r="E17" s="281">
        <v>73.997354777004276</v>
      </c>
      <c r="F17" s="223">
        <f t="shared" si="0"/>
        <v>0.20145257524254956</v>
      </c>
      <c r="G17" s="237">
        <v>1684.2712860000004</v>
      </c>
      <c r="H17" s="281">
        <v>1650.91858789053</v>
      </c>
      <c r="I17" s="292">
        <f t="shared" si="1"/>
        <v>-1.9802450108070246E-2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7" t="s">
        <v>26</v>
      </c>
      <c r="D18" s="221">
        <v>170.186341</v>
      </c>
      <c r="E18" s="281">
        <v>109.56461421500005</v>
      </c>
      <c r="F18" s="223">
        <f t="shared" si="0"/>
        <v>-0.35620794494312535</v>
      </c>
      <c r="G18" s="237">
        <v>1149.9953910000002</v>
      </c>
      <c r="H18" s="281">
        <v>1141.3519684875</v>
      </c>
      <c r="I18" s="223">
        <f t="shared" si="1"/>
        <v>-7.5160496991071302E-3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7" t="s">
        <v>27</v>
      </c>
      <c r="D19" s="221">
        <v>166.08789100000001</v>
      </c>
      <c r="E19" s="281">
        <v>212.35130061614447</v>
      </c>
      <c r="F19" s="223">
        <f t="shared" si="0"/>
        <v>0.27854775768177142</v>
      </c>
      <c r="G19" s="237">
        <v>2117.1583269999996</v>
      </c>
      <c r="H19" s="281">
        <v>2316.3337331561447</v>
      </c>
      <c r="I19" s="292">
        <f t="shared" si="1"/>
        <v>9.4076764886249942E-2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7" t="s">
        <v>28</v>
      </c>
      <c r="D20" s="221">
        <v>63.817495999999991</v>
      </c>
      <c r="E20" s="281">
        <v>104.77379672036776</v>
      </c>
      <c r="F20" s="292">
        <f t="shared" si="0"/>
        <v>0.64177229266983105</v>
      </c>
      <c r="G20" s="237">
        <v>437.70573099999996</v>
      </c>
      <c r="H20" s="281">
        <v>510.19837262891281</v>
      </c>
      <c r="I20" s="223">
        <f t="shared" si="1"/>
        <v>0.16561958524804621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7" t="s">
        <v>29</v>
      </c>
      <c r="D21" s="221">
        <v>5.20953</v>
      </c>
      <c r="E21" s="281">
        <v>6.7438611716560919</v>
      </c>
      <c r="F21" s="223">
        <f t="shared" si="0"/>
        <v>0.2945239151432264</v>
      </c>
      <c r="G21" s="237">
        <v>41.627088999999998</v>
      </c>
      <c r="H21" s="281">
        <v>41.8566160191561</v>
      </c>
      <c r="I21" s="223">
        <f t="shared" si="1"/>
        <v>5.5138859014642883E-3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7" t="s">
        <v>30</v>
      </c>
      <c r="D22" s="221">
        <v>2403.5144590000018</v>
      </c>
      <c r="E22" s="281">
        <v>2552.2246972615903</v>
      </c>
      <c r="F22" s="223">
        <f t="shared" si="0"/>
        <v>6.1871996527726569E-2</v>
      </c>
      <c r="G22" s="237">
        <v>15309.269686000005</v>
      </c>
      <c r="H22" s="281">
        <v>16225.684431535461</v>
      </c>
      <c r="I22" s="223">
        <f t="shared" si="1"/>
        <v>5.9860121634247365E-2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7" t="s">
        <v>31</v>
      </c>
      <c r="D23" s="221">
        <v>35.415158000000005</v>
      </c>
      <c r="E23" s="281">
        <v>34.187502333333335</v>
      </c>
      <c r="F23" s="223">
        <f t="shared" si="0"/>
        <v>-3.4664695457992001E-2</v>
      </c>
      <c r="G23" s="237">
        <v>267.982798</v>
      </c>
      <c r="H23" s="281">
        <v>274.33377933333338</v>
      </c>
      <c r="I23" s="223">
        <f t="shared" si="1"/>
        <v>2.3699212713397255E-2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7" t="s">
        <v>32</v>
      </c>
      <c r="D24" s="358">
        <v>0.183336</v>
      </c>
      <c r="E24" s="359">
        <v>0.17034162833333336</v>
      </c>
      <c r="F24" s="223">
        <f t="shared" si="0"/>
        <v>-7.0877359965673126E-2</v>
      </c>
      <c r="G24" s="341">
        <v>1.3594010000000001</v>
      </c>
      <c r="H24" s="308">
        <v>1.0155977533333331</v>
      </c>
      <c r="I24" s="292">
        <f t="shared" si="1"/>
        <v>-0.2529078959531933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7" t="s">
        <v>33</v>
      </c>
      <c r="D25" s="221">
        <v>70.250185999999985</v>
      </c>
      <c r="E25" s="281">
        <v>58.798672624166642</v>
      </c>
      <c r="F25" s="223">
        <f t="shared" si="0"/>
        <v>-0.16301043495932299</v>
      </c>
      <c r="G25" s="237">
        <v>473.62134999999995</v>
      </c>
      <c r="H25" s="281">
        <v>457.50288299416655</v>
      </c>
      <c r="I25" s="223">
        <f t="shared" si="1"/>
        <v>-3.4032391077457591E-2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7" t="s">
        <v>34</v>
      </c>
      <c r="D26" s="221">
        <v>41.263330000000003</v>
      </c>
      <c r="E26" s="281">
        <v>68.782680329798055</v>
      </c>
      <c r="F26" s="223">
        <f t="shared" si="0"/>
        <v>0.66692024928182114</v>
      </c>
      <c r="G26" s="237">
        <v>593.51096899999993</v>
      </c>
      <c r="H26" s="281">
        <v>638.51689057222961</v>
      </c>
      <c r="I26" s="223">
        <f t="shared" si="1"/>
        <v>7.582997437782768E-2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7" t="s">
        <v>35</v>
      </c>
      <c r="D27" s="221">
        <v>134.77753100000001</v>
      </c>
      <c r="E27" s="281">
        <v>149.39090462713997</v>
      </c>
      <c r="F27" s="223">
        <f t="shared" si="0"/>
        <v>0.10842588908339601</v>
      </c>
      <c r="G27" s="237">
        <v>980.24401099999989</v>
      </c>
      <c r="H27" s="281">
        <v>1043.5954003296399</v>
      </c>
      <c r="I27" s="223">
        <f t="shared" si="1"/>
        <v>6.462818300211981E-2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7" t="s">
        <v>36</v>
      </c>
      <c r="D28" s="221">
        <v>53.554267999999993</v>
      </c>
      <c r="E28" s="281">
        <v>66.813428675436569</v>
      </c>
      <c r="F28" s="223">
        <f t="shared" si="0"/>
        <v>0.24758364124100396</v>
      </c>
      <c r="G28" s="237">
        <v>744.54078799999991</v>
      </c>
      <c r="H28" s="281">
        <v>765.55739480293641</v>
      </c>
      <c r="I28" s="339">
        <f t="shared" si="1"/>
        <v>2.8227609745050675E-2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7" t="s">
        <v>37</v>
      </c>
      <c r="D29" s="221">
        <v>1.7732260000000002</v>
      </c>
      <c r="E29" s="281">
        <v>2.9295636996535528</v>
      </c>
      <c r="F29" s="223">
        <f t="shared" si="0"/>
        <v>0.65210960117523231</v>
      </c>
      <c r="G29" s="237">
        <v>31.038870999999997</v>
      </c>
      <c r="H29" s="281">
        <v>32.161698699653549</v>
      </c>
      <c r="I29" s="292">
        <f t="shared" si="1"/>
        <v>3.6174888566454344E-2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7" t="s">
        <v>38</v>
      </c>
      <c r="D30" s="221">
        <v>13.315969000000001</v>
      </c>
      <c r="E30" s="281">
        <v>13.747631057499996</v>
      </c>
      <c r="F30" s="292">
        <f t="shared" si="0"/>
        <v>3.2416871614825427E-2</v>
      </c>
      <c r="G30" s="237">
        <v>103.54871499999999</v>
      </c>
      <c r="H30" s="281">
        <v>103.0263630125</v>
      </c>
      <c r="I30" s="223">
        <f t="shared" si="1"/>
        <v>-5.0445047772923468E-3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7" t="s">
        <v>39</v>
      </c>
      <c r="D31" s="221">
        <v>1.1005480000000001</v>
      </c>
      <c r="E31" s="281">
        <v>1.1005480000000001</v>
      </c>
      <c r="F31" s="292">
        <f>+E31/D31-1</f>
        <v>0</v>
      </c>
      <c r="G31" s="237">
        <v>8.8043840000000007</v>
      </c>
      <c r="H31" s="281">
        <v>8.8043840000000007</v>
      </c>
      <c r="I31" s="223">
        <f t="shared" si="1"/>
        <v>0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19" t="s">
        <v>40</v>
      </c>
      <c r="D32" s="215">
        <v>48.314183000000007</v>
      </c>
      <c r="E32" s="282">
        <v>34.175725732499998</v>
      </c>
      <c r="F32" s="224">
        <f t="shared" si="0"/>
        <v>-0.29263575185572333</v>
      </c>
      <c r="G32" s="238">
        <v>149.22611700000002</v>
      </c>
      <c r="H32" s="282">
        <v>164.1510060425</v>
      </c>
      <c r="I32" s="224">
        <f t="shared" si="1"/>
        <v>0.10001526101828406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25" t="s">
        <v>108</v>
      </c>
      <c r="D33" s="110">
        <f>SUM(D8:D32)</f>
        <v>4831.8373840000022</v>
      </c>
      <c r="E33" s="283">
        <f>SUM(E8:E32)</f>
        <v>4994.6781736214934</v>
      </c>
      <c r="F33" s="115">
        <f>+E33/D33-1</f>
        <v>3.3701628734592148E-2</v>
      </c>
      <c r="G33" s="239">
        <f>SUM(G8:G32)</f>
        <v>37963.956461000002</v>
      </c>
      <c r="H33" s="283">
        <f>SUM(H8:H32)</f>
        <v>39186.217830168585</v>
      </c>
      <c r="I33" s="240">
        <f>+H33/G33-1</f>
        <v>3.2195310581609293E-2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129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43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2552.2246972615903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760.3538040253278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59</v>
      </c>
      <c r="O46" s="53">
        <v>333.06769127250004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27</v>
      </c>
      <c r="O47" s="52">
        <v>212.35130061614447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35</v>
      </c>
      <c r="O48" s="53">
        <v>149.39090462713997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23</v>
      </c>
      <c r="O49" s="53">
        <v>121.22183929045291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26</v>
      </c>
      <c r="O50" s="52">
        <v>109.56461421500005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28</v>
      </c>
      <c r="O51" s="53">
        <v>104.77379672036776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20</v>
      </c>
      <c r="O52" s="53">
        <v>102.98284690388491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18</v>
      </c>
      <c r="O53" s="53">
        <v>94.109587195939667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22</v>
      </c>
      <c r="O54" s="53">
        <v>83.981908297095131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25</v>
      </c>
      <c r="O55" s="52">
        <v>73.997354777004276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34</v>
      </c>
      <c r="O56" s="53">
        <v>68.782680329798055</v>
      </c>
      <c r="P56" s="8"/>
      <c r="S56" s="91"/>
    </row>
    <row r="57" spans="3:19">
      <c r="N57" s="51" t="s">
        <v>36</v>
      </c>
      <c r="O57" s="52">
        <v>66.813428675436569</v>
      </c>
      <c r="S57" s="91"/>
    </row>
    <row r="58" spans="3:19">
      <c r="N58" s="51" t="s">
        <v>33</v>
      </c>
      <c r="O58" s="52">
        <v>58.798672624166642</v>
      </c>
      <c r="S58" s="91"/>
    </row>
    <row r="59" spans="3:19">
      <c r="N59" s="51" t="s">
        <v>31</v>
      </c>
      <c r="O59" s="52">
        <v>34.187502333333335</v>
      </c>
      <c r="S59" s="91"/>
    </row>
    <row r="60" spans="3:19">
      <c r="N60" s="51" t="s">
        <v>40</v>
      </c>
      <c r="O60" s="52">
        <v>34.175725732499998</v>
      </c>
      <c r="S60" s="91"/>
    </row>
    <row r="61" spans="3:19">
      <c r="N61" s="51" t="s">
        <v>38</v>
      </c>
      <c r="O61" s="52">
        <v>13.747631057499996</v>
      </c>
      <c r="S61" s="91"/>
    </row>
    <row r="62" spans="3:19">
      <c r="N62" s="51" t="s">
        <v>29</v>
      </c>
      <c r="O62" s="52">
        <v>6.7438611716560919</v>
      </c>
      <c r="S62" s="91"/>
    </row>
    <row r="63" spans="3:19">
      <c r="N63" s="50" t="s">
        <v>17</v>
      </c>
      <c r="O63" s="53">
        <v>4.5502275000000001</v>
      </c>
      <c r="S63" s="91"/>
    </row>
    <row r="64" spans="3:19">
      <c r="N64" s="50" t="s">
        <v>19</v>
      </c>
      <c r="O64" s="53">
        <v>3.8191466666666671</v>
      </c>
      <c r="S64" s="91"/>
    </row>
    <row r="65" spans="6:19">
      <c r="N65" s="50" t="s">
        <v>37</v>
      </c>
      <c r="O65" s="53">
        <v>2.9295636996535528</v>
      </c>
      <c r="S65" s="120"/>
    </row>
    <row r="66" spans="6:19">
      <c r="N66" s="50" t="s">
        <v>39</v>
      </c>
      <c r="O66" s="53">
        <v>1.1005480000000001</v>
      </c>
      <c r="S66" s="91"/>
    </row>
    <row r="67" spans="6:19">
      <c r="N67" s="51" t="s">
        <v>21</v>
      </c>
      <c r="O67" s="52">
        <v>0.83849899999999999</v>
      </c>
      <c r="S67" s="91"/>
    </row>
    <row r="68" spans="6:19">
      <c r="N68" s="9" t="s">
        <v>32</v>
      </c>
      <c r="O68" s="52">
        <v>0.17034162833333336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ref="Q44:R68">
    <sortCondition descending="1" ref="R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2022-09-21T01:13:52Z</dcterms:modified>
</cp:coreProperties>
</file>